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120" yWindow="160" windowWidth="12120" windowHeight="7160" activeTab="2"/>
  </bookViews>
  <sheets>
    <sheet name="Corn Forecast - Part A" sheetId="8" r:id="rId1"/>
    <sheet name="Oat Forecast - Part A" sheetId="6" r:id="rId2"/>
    <sheet name="Main Model - Part B and C" sheetId="9" r:id="rId3"/>
  </sheets>
  <definedNames>
    <definedName name="PartAQc">'Main Model - Part B and C'!$H$164:$H$173</definedName>
    <definedName name="PartB">'Main Model - Part B and C'!$H$176:$H$177</definedName>
    <definedName name="Qc">'Main Model - Part B and C'!$H$164:$H$173</definedName>
    <definedName name="solver_adj" localSheetId="2" hidden="1">'Main Model - Part B and C'!$C$12:$F$14,'Main Model - Part B and C'!$C$19:$G$22,'Main Model - Part B and C'!$C$25:$E$28,'Main Model - Part B and C'!$J$12:$M$14,'Main Model - Part B and C'!$J$19:$N$22,'Main Model - Part B and C'!$H$26:$I$28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'Main Model - Part B and C'!$H$164:$H$173</definedName>
    <definedName name="solver_lhs10" localSheetId="2" hidden="1">'Main Model - Part B and C'!$H$148:$H$155</definedName>
    <definedName name="solver_lhs11" localSheetId="2" hidden="1">'Main Model - Part B and C'!$H$89:$H$91</definedName>
    <definedName name="solver_lhs12" localSheetId="2" hidden="1">'Main Model - Part B and C'!$H$86:$H$88</definedName>
    <definedName name="solver_lhs13" localSheetId="2" hidden="1">'Main Model - Part B and C'!$H$143:$H$146</definedName>
    <definedName name="solver_lhs14" localSheetId="2" hidden="1">'Main Model - Part B and C'!$H$26:$I$28</definedName>
    <definedName name="solver_lhs15" localSheetId="2" hidden="1">'Main Model - Part B and C'!$H$123:$H$127</definedName>
    <definedName name="solver_lhs16" localSheetId="2" hidden="1">'Main Model - Part B and C'!$H$134:$H$141</definedName>
    <definedName name="solver_lhs17" localSheetId="2" hidden="1">'Main Model - Part B and C'!$H$128:$H$132</definedName>
    <definedName name="solver_lhs18" localSheetId="2" hidden="1">'Main Model - Part B and C'!$H$118:$H$122</definedName>
    <definedName name="solver_lhs19" localSheetId="2" hidden="1">'Main Model - Part B and C'!$H$113:$H$117</definedName>
    <definedName name="solver_lhs2" localSheetId="2" hidden="1">'Main Model - Part B and C'!$H$176:$H$177</definedName>
    <definedName name="solver_lhs20" localSheetId="2" hidden="1">'Main Model - Part B and C'!$H$108:$H$111</definedName>
    <definedName name="solver_lhs21" localSheetId="2" hidden="1">'Main Model - Part B and C'!$C$19:$G$22</definedName>
    <definedName name="solver_lhs22" localSheetId="2" hidden="1">'Main Model - Part B and C'!$C$12:$F$14</definedName>
    <definedName name="solver_lhs23" localSheetId="2" hidden="1">'Main Model - Part B and C'!$C$25:$E$28</definedName>
    <definedName name="solver_lhs3" localSheetId="2" hidden="1">'Main Model - Part B and C'!$H$103:$H$106</definedName>
    <definedName name="solver_lhs4" localSheetId="2" hidden="1">'Main Model - Part B and C'!$J$19:$N$22</definedName>
    <definedName name="solver_lhs5" localSheetId="2" hidden="1">'Main Model - Part B and C'!$J$12:$M$14</definedName>
    <definedName name="solver_lhs6" localSheetId="2" hidden="1">'Main Model - Part B and C'!$H$99:$H$102</definedName>
    <definedName name="solver_lhs7" localSheetId="2" hidden="1">'Main Model - Part B and C'!$H$95:$H$97</definedName>
    <definedName name="solver_lhs8" localSheetId="2" hidden="1">'Main Model - Part B and C'!$H$157:$H$162</definedName>
    <definedName name="solver_lhs9" localSheetId="2" hidden="1">'Main Model - Part B and C'!$H$92:$H$94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23</definedName>
    <definedName name="solver_nwt" localSheetId="2" hidden="1">1</definedName>
    <definedName name="solver_opt" localSheetId="2" hidden="1">'Main Model - Part B and C'!$E$32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el10" localSheetId="2" hidden="1">1</definedName>
    <definedName name="solver_rel11" localSheetId="2" hidden="1">1</definedName>
    <definedName name="solver_rel12" localSheetId="2" hidden="1">3</definedName>
    <definedName name="solver_rel13" localSheetId="2" hidden="1">3</definedName>
    <definedName name="solver_rel14" localSheetId="2" hidden="1">5</definedName>
    <definedName name="solver_rel15" localSheetId="2" hidden="1">3</definedName>
    <definedName name="solver_rel16" localSheetId="2" hidden="1">3</definedName>
    <definedName name="solver_rel17" localSheetId="2" hidden="1">1</definedName>
    <definedName name="solver_rel18" localSheetId="2" hidden="1">1</definedName>
    <definedName name="solver_rel19" localSheetId="2" hidden="1">3</definedName>
    <definedName name="solver_rel2" localSheetId="2" hidden="1">1</definedName>
    <definedName name="solver_rel20" localSheetId="2" hidden="1">1</definedName>
    <definedName name="solver_rel21" localSheetId="2" hidden="1">3</definedName>
    <definedName name="solver_rel22" localSheetId="2" hidden="1">3</definedName>
    <definedName name="solver_rel23" localSheetId="2" hidden="1">5</definedName>
    <definedName name="solver_rel3" localSheetId="2" hidden="1">1</definedName>
    <definedName name="solver_rel4" localSheetId="2" hidden="1">3</definedName>
    <definedName name="solver_rel5" localSheetId="2" hidden="1">3</definedName>
    <definedName name="solver_rel6" localSheetId="2" hidden="1">1</definedName>
    <definedName name="solver_rel7" localSheetId="2" hidden="1">1</definedName>
    <definedName name="solver_rel8" localSheetId="2" hidden="1">1</definedName>
    <definedName name="solver_rel9" localSheetId="2" hidden="1">3</definedName>
    <definedName name="solver_rhs1" localSheetId="2" hidden="1">'Main Model - Part B and C'!$J$164:$J$173</definedName>
    <definedName name="solver_rhs10" localSheetId="2" hidden="1">'Main Model - Part B and C'!$J$148:$J$155</definedName>
    <definedName name="solver_rhs11" localSheetId="2" hidden="1">'Main Model - Part B and C'!$J$89:$J$91</definedName>
    <definedName name="solver_rhs12" localSheetId="2" hidden="1">'Main Model - Part B and C'!$J$86:$J$88</definedName>
    <definedName name="solver_rhs13" localSheetId="2" hidden="1">'Main Model - Part B and C'!$J$143:$J$146</definedName>
    <definedName name="solver_rhs14" localSheetId="2" hidden="1">δυαδικός</definedName>
    <definedName name="solver_rhs15" localSheetId="2" hidden="1">'Main Model - Part B and C'!$J$123:$J$127</definedName>
    <definedName name="solver_rhs16" localSheetId="2" hidden="1">'Main Model - Part B and C'!$J$134:$J$141</definedName>
    <definedName name="solver_rhs17" localSheetId="2" hidden="1">'Main Model - Part B and C'!$J$128:$J$132</definedName>
    <definedName name="solver_rhs18" localSheetId="2" hidden="1">'Main Model - Part B and C'!$J$118:$J$122</definedName>
    <definedName name="solver_rhs19" localSheetId="2" hidden="1">'Main Model - Part B and C'!$J$113:$J$117</definedName>
    <definedName name="solver_rhs2" localSheetId="2" hidden="1">'Main Model - Part B and C'!$J$176:$J$177</definedName>
    <definedName name="solver_rhs20" localSheetId="2" hidden="1">'Main Model - Part B and C'!$J$108:$J$111</definedName>
    <definedName name="solver_rhs21" localSheetId="2" hidden="1">0</definedName>
    <definedName name="solver_rhs22" localSheetId="2" hidden="1">0</definedName>
    <definedName name="solver_rhs23" localSheetId="2" hidden="1">δυαδικός</definedName>
    <definedName name="solver_rhs3" localSheetId="2" hidden="1">'Main Model - Part B and C'!$J$103:$J$106</definedName>
    <definedName name="solver_rhs4" localSheetId="2" hidden="1">0</definedName>
    <definedName name="solver_rhs5" localSheetId="2" hidden="1">0</definedName>
    <definedName name="solver_rhs6" localSheetId="2" hidden="1">'Main Model - Part B and C'!$J$99:$J$102</definedName>
    <definedName name="solver_rhs7" localSheetId="2" hidden="1">'Main Model - Part B and C'!$J$95:$J$97</definedName>
    <definedName name="solver_rhs8" localSheetId="2" hidden="1">'Main Model - Part B and C'!$J$157:$J$162</definedName>
    <definedName name="solver_rhs9" localSheetId="2" hidden="1">'Main Model - Part B and C'!$J$92:$J$94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6" i="9" l="1"/>
  <c r="H176" i="9"/>
  <c r="J161" i="9"/>
  <c r="J162" i="9"/>
  <c r="H161" i="9"/>
  <c r="H162" i="9"/>
  <c r="J160" i="9"/>
  <c r="H160" i="9"/>
  <c r="J158" i="9"/>
  <c r="J159" i="9"/>
  <c r="H158" i="9"/>
  <c r="H159" i="9"/>
  <c r="J157" i="9"/>
  <c r="H157" i="9"/>
  <c r="J95" i="9"/>
  <c r="G45" i="9"/>
  <c r="H97" i="9"/>
  <c r="H96" i="9"/>
  <c r="H95" i="9"/>
  <c r="H94" i="9"/>
  <c r="H93" i="9"/>
  <c r="H92" i="9"/>
  <c r="H91" i="9"/>
  <c r="H90" i="9"/>
  <c r="H89" i="9"/>
  <c r="H88" i="9"/>
  <c r="H87" i="9"/>
  <c r="J97" i="9"/>
  <c r="J96" i="9"/>
  <c r="J94" i="9"/>
  <c r="J93" i="9"/>
  <c r="J92" i="9"/>
  <c r="J91" i="9"/>
  <c r="J90" i="9"/>
  <c r="J89" i="9"/>
  <c r="J88" i="9"/>
  <c r="J87" i="9"/>
  <c r="J86" i="9"/>
  <c r="H167" i="9"/>
  <c r="H168" i="9"/>
  <c r="H165" i="9"/>
  <c r="H172" i="9"/>
  <c r="H173" i="9"/>
  <c r="H171" i="9"/>
  <c r="H169" i="9"/>
  <c r="H170" i="9"/>
  <c r="H166" i="9"/>
  <c r="H164" i="9"/>
  <c r="H177" i="9"/>
  <c r="J153" i="9"/>
  <c r="J154" i="9"/>
  <c r="J155" i="9"/>
  <c r="J152" i="9"/>
  <c r="H153" i="9"/>
  <c r="H154" i="9"/>
  <c r="H155" i="9"/>
  <c r="H152" i="9"/>
  <c r="J149" i="9"/>
  <c r="J150" i="9"/>
  <c r="J151" i="9"/>
  <c r="J148" i="9"/>
  <c r="H149" i="9"/>
  <c r="H150" i="9"/>
  <c r="H151" i="9"/>
  <c r="H148" i="9"/>
  <c r="J144" i="9"/>
  <c r="J145" i="9"/>
  <c r="J146" i="9"/>
  <c r="H144" i="9"/>
  <c r="H145" i="9"/>
  <c r="H146" i="9"/>
  <c r="J143" i="9"/>
  <c r="H143" i="9"/>
  <c r="J109" i="9"/>
  <c r="J108" i="9"/>
  <c r="J110" i="9"/>
  <c r="J111" i="9"/>
  <c r="J104" i="9"/>
  <c r="J105" i="9"/>
  <c r="J106" i="9"/>
  <c r="J103" i="9"/>
  <c r="J100" i="9"/>
  <c r="J101" i="9"/>
  <c r="J102" i="9"/>
  <c r="J99" i="9"/>
  <c r="J139" i="9"/>
  <c r="J140" i="9"/>
  <c r="J141" i="9"/>
  <c r="J138" i="9"/>
  <c r="J135" i="9"/>
  <c r="J134" i="9"/>
  <c r="J136" i="9"/>
  <c r="J137" i="9"/>
  <c r="H141" i="9"/>
  <c r="H140" i="9"/>
  <c r="H139" i="9"/>
  <c r="H138" i="9"/>
  <c r="H137" i="9"/>
  <c r="H136" i="9"/>
  <c r="H135" i="9"/>
  <c r="H134" i="9"/>
  <c r="H132" i="9"/>
  <c r="H131" i="9"/>
  <c r="H130" i="9"/>
  <c r="H129" i="9"/>
  <c r="H128" i="9"/>
  <c r="H127" i="9"/>
  <c r="H126" i="9"/>
  <c r="H125" i="9"/>
  <c r="H124" i="9"/>
  <c r="H123" i="9"/>
  <c r="J124" i="9"/>
  <c r="J125" i="9"/>
  <c r="J126" i="9"/>
  <c r="J127" i="9"/>
  <c r="J123" i="9"/>
  <c r="H122" i="9"/>
  <c r="H121" i="9"/>
  <c r="H120" i="9"/>
  <c r="H119" i="9"/>
  <c r="H118" i="9"/>
  <c r="H117" i="9"/>
  <c r="H116" i="9"/>
  <c r="H115" i="9"/>
  <c r="H114" i="9"/>
  <c r="J114" i="9"/>
  <c r="J115" i="9"/>
  <c r="J116" i="9"/>
  <c r="J117" i="9"/>
  <c r="J113" i="9"/>
  <c r="H113" i="9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G20" i="6"/>
  <c r="G21" i="6"/>
  <c r="C117" i="9"/>
  <c r="J119" i="9"/>
  <c r="E8" i="8"/>
  <c r="F8" i="8"/>
  <c r="E9" i="8"/>
  <c r="F9" i="8"/>
  <c r="E10" i="8"/>
  <c r="F10" i="8"/>
  <c r="E11" i="8"/>
  <c r="F11" i="8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G20" i="8"/>
  <c r="G21" i="8"/>
  <c r="C118" i="9"/>
  <c r="J130" i="9"/>
  <c r="H110" i="9"/>
  <c r="H109" i="9"/>
  <c r="H111" i="9"/>
  <c r="H108" i="9"/>
  <c r="H106" i="9"/>
  <c r="H105" i="9"/>
  <c r="H104" i="9"/>
  <c r="H103" i="9"/>
  <c r="H102" i="9"/>
  <c r="H101" i="9"/>
  <c r="H100" i="9"/>
  <c r="H99" i="9"/>
  <c r="J80" i="9"/>
  <c r="J79" i="9"/>
  <c r="J81" i="9"/>
  <c r="J78" i="9"/>
  <c r="I80" i="9"/>
  <c r="I79" i="9"/>
  <c r="I81" i="9"/>
  <c r="I78" i="9"/>
  <c r="G79" i="9"/>
  <c r="G80" i="9"/>
  <c r="G81" i="9"/>
  <c r="G78" i="9"/>
  <c r="J71" i="9"/>
  <c r="I71" i="9"/>
  <c r="I62" i="9"/>
  <c r="I63" i="9"/>
  <c r="I64" i="9"/>
  <c r="I61" i="9"/>
  <c r="H62" i="9"/>
  <c r="H63" i="9"/>
  <c r="H64" i="9"/>
  <c r="H61" i="9"/>
  <c r="L64" i="9"/>
  <c r="L63" i="9"/>
  <c r="L62" i="9"/>
  <c r="L61" i="9"/>
  <c r="K64" i="9"/>
  <c r="K63" i="9"/>
  <c r="K62" i="9"/>
  <c r="K61" i="9"/>
  <c r="I54" i="9"/>
  <c r="H54" i="9"/>
  <c r="G46" i="9"/>
  <c r="G47" i="9"/>
  <c r="F47" i="9"/>
  <c r="F46" i="9"/>
  <c r="F45" i="9"/>
  <c r="G40" i="9"/>
  <c r="G39" i="9"/>
  <c r="G38" i="9"/>
  <c r="G37" i="9"/>
  <c r="G36" i="9"/>
  <c r="F40" i="9"/>
  <c r="F39" i="9"/>
  <c r="F38" i="9"/>
  <c r="F37" i="9"/>
  <c r="F36" i="9"/>
  <c r="J122" i="9"/>
  <c r="J132" i="9"/>
  <c r="J128" i="9"/>
  <c r="J129" i="9"/>
  <c r="J120" i="9"/>
  <c r="J131" i="9"/>
  <c r="J121" i="9"/>
  <c r="J118" i="9"/>
  <c r="E32" i="9"/>
  <c r="G8" i="8"/>
  <c r="J8" i="8"/>
  <c r="G10" i="8"/>
  <c r="J10" i="8"/>
  <c r="L8" i="8"/>
  <c r="G9" i="8"/>
  <c r="J9" i="8"/>
  <c r="K9" i="8"/>
  <c r="O9" i="8"/>
  <c r="M8" i="8"/>
  <c r="K8" i="8"/>
  <c r="L9" i="8"/>
  <c r="M9" i="8"/>
  <c r="G11" i="8"/>
  <c r="J11" i="8"/>
  <c r="K10" i="8"/>
  <c r="O10" i="8"/>
  <c r="L10" i="8"/>
  <c r="M10" i="8"/>
  <c r="O8" i="8"/>
  <c r="N8" i="8"/>
  <c r="Q8" i="8"/>
  <c r="N9" i="8"/>
  <c r="Q9" i="8"/>
  <c r="G8" i="6"/>
  <c r="J8" i="6"/>
  <c r="N10" i="8"/>
  <c r="Q10" i="8"/>
  <c r="K11" i="8"/>
  <c r="L11" i="8"/>
  <c r="M11" i="8"/>
  <c r="P9" i="8"/>
  <c r="P10" i="8"/>
  <c r="P8" i="8"/>
  <c r="M8" i="6"/>
  <c r="L8" i="6"/>
  <c r="K8" i="6"/>
  <c r="G9" i="6"/>
  <c r="J9" i="6"/>
  <c r="G13" i="8"/>
  <c r="J13" i="8"/>
  <c r="G12" i="8"/>
  <c r="J12" i="8"/>
  <c r="K12" i="8"/>
  <c r="O12" i="8"/>
  <c r="O11" i="8"/>
  <c r="N11" i="8"/>
  <c r="Q11" i="8"/>
  <c r="L9" i="6"/>
  <c r="K9" i="6"/>
  <c r="O9" i="6"/>
  <c r="M9" i="6"/>
  <c r="O8" i="6"/>
  <c r="N8" i="6"/>
  <c r="Q8" i="6"/>
  <c r="N12" i="8"/>
  <c r="Q12" i="8"/>
  <c r="L12" i="8"/>
  <c r="M12" i="8"/>
  <c r="G14" i="8"/>
  <c r="J14" i="8"/>
  <c r="K13" i="8"/>
  <c r="L13" i="8"/>
  <c r="M13" i="8"/>
  <c r="P11" i="8"/>
  <c r="P12" i="8"/>
  <c r="N9" i="6"/>
  <c r="Q9" i="6"/>
  <c r="P8" i="6"/>
  <c r="P9" i="6"/>
  <c r="G10" i="6"/>
  <c r="J10" i="6"/>
  <c r="L10" i="6"/>
  <c r="G15" i="8"/>
  <c r="J15" i="8"/>
  <c r="K14" i="8"/>
  <c r="O14" i="8"/>
  <c r="L14" i="8"/>
  <c r="M14" i="8"/>
  <c r="O13" i="8"/>
  <c r="N13" i="8"/>
  <c r="Q13" i="8"/>
  <c r="G11" i="6"/>
  <c r="J11" i="6"/>
  <c r="K10" i="6"/>
  <c r="O10" i="6"/>
  <c r="M10" i="6"/>
  <c r="K15" i="8"/>
  <c r="O15" i="8"/>
  <c r="P15" i="8"/>
  <c r="L15" i="8"/>
  <c r="M15" i="8"/>
  <c r="P14" i="8"/>
  <c r="P13" i="8"/>
  <c r="N14" i="8"/>
  <c r="Q14" i="8"/>
  <c r="G12" i="6"/>
  <c r="J12" i="6"/>
  <c r="K11" i="6"/>
  <c r="O11" i="6"/>
  <c r="M11" i="6"/>
  <c r="L11" i="6"/>
  <c r="N10" i="6"/>
  <c r="Q10" i="6"/>
  <c r="N15" i="8"/>
  <c r="Q15" i="8"/>
  <c r="G16" i="8"/>
  <c r="J16" i="8"/>
  <c r="N11" i="6"/>
  <c r="Q11" i="6"/>
  <c r="K12" i="6"/>
  <c r="N12" i="6"/>
  <c r="Q12" i="6"/>
  <c r="L12" i="6"/>
  <c r="M12" i="6"/>
  <c r="P10" i="6"/>
  <c r="P11" i="6"/>
  <c r="G17" i="8"/>
  <c r="J17" i="8"/>
  <c r="K17" i="8"/>
  <c r="K16" i="8"/>
  <c r="M16" i="8"/>
  <c r="L16" i="8"/>
  <c r="G13" i="6"/>
  <c r="J13" i="6"/>
  <c r="O12" i="6"/>
  <c r="L17" i="8"/>
  <c r="M17" i="8"/>
  <c r="G18" i="8"/>
  <c r="J18" i="8"/>
  <c r="M18" i="8"/>
  <c r="O16" i="8"/>
  <c r="N16" i="8"/>
  <c r="Q16" i="8"/>
  <c r="O17" i="8"/>
  <c r="N17" i="8"/>
  <c r="Q17" i="8"/>
  <c r="G19" i="8"/>
  <c r="J19" i="8"/>
  <c r="G14" i="6"/>
  <c r="J14" i="6"/>
  <c r="K13" i="6"/>
  <c r="L13" i="6"/>
  <c r="M13" i="6"/>
  <c r="P12" i="6"/>
  <c r="L18" i="8"/>
  <c r="K18" i="8"/>
  <c r="O18" i="8"/>
  <c r="K19" i="8"/>
  <c r="L19" i="8"/>
  <c r="M19" i="8"/>
  <c r="P18" i="8"/>
  <c r="P17" i="8"/>
  <c r="P16" i="8"/>
  <c r="N18" i="8"/>
  <c r="Q18" i="8"/>
  <c r="G15" i="6"/>
  <c r="J15" i="6"/>
  <c r="L15" i="6"/>
  <c r="K14" i="6"/>
  <c r="O14" i="6"/>
  <c r="L14" i="6"/>
  <c r="M14" i="6"/>
  <c r="O13" i="6"/>
  <c r="N13" i="6"/>
  <c r="Q13" i="6"/>
  <c r="N14" i="6"/>
  <c r="Q14" i="6"/>
  <c r="O19" i="8"/>
  <c r="P19" i="8"/>
  <c r="N19" i="8"/>
  <c r="M15" i="6"/>
  <c r="K15" i="6"/>
  <c r="O15" i="6"/>
  <c r="P15" i="6"/>
  <c r="G17" i="6"/>
  <c r="J17" i="6"/>
  <c r="G16" i="6"/>
  <c r="J16" i="6"/>
  <c r="P14" i="6"/>
  <c r="P13" i="6"/>
  <c r="N24" i="8"/>
  <c r="Q19" i="8"/>
  <c r="N15" i="6"/>
  <c r="Q15" i="6"/>
  <c r="G18" i="6"/>
  <c r="J18" i="6"/>
  <c r="K17" i="6"/>
  <c r="L17" i="6"/>
  <c r="M17" i="6"/>
  <c r="K16" i="6"/>
  <c r="M16" i="6"/>
  <c r="L16" i="6"/>
  <c r="G19" i="6"/>
  <c r="J19" i="6"/>
  <c r="K18" i="6"/>
  <c r="L18" i="6"/>
  <c r="M18" i="6"/>
  <c r="O17" i="6"/>
  <c r="N17" i="6"/>
  <c r="Q17" i="6"/>
  <c r="O16" i="6"/>
  <c r="N16" i="6"/>
  <c r="Q16" i="6"/>
  <c r="K19" i="6"/>
  <c r="L19" i="6"/>
  <c r="M19" i="6"/>
  <c r="O18" i="6"/>
  <c r="P18" i="6"/>
  <c r="N18" i="6"/>
  <c r="Q18" i="6"/>
  <c r="P17" i="6"/>
  <c r="P16" i="6"/>
  <c r="O19" i="6"/>
  <c r="P19" i="6"/>
  <c r="N19" i="6"/>
  <c r="N24" i="6"/>
  <c r="Q19" i="6"/>
</calcChain>
</file>

<file path=xl/comments1.xml><?xml version="1.0" encoding="utf-8"?>
<comments xmlns="http://schemas.openxmlformats.org/spreadsheetml/2006/main">
  <authors>
    <author xml:space="preserve"> </author>
  </authors>
  <commentList>
    <comment ref="E7" authorId="0">
      <text>
        <r>
          <rPr>
            <sz val="8"/>
            <color indexed="81"/>
            <rFont val="Tahoma"/>
            <family val="2"/>
          </rPr>
          <t>Level componet from regression of sales vs. period</t>
        </r>
      </text>
    </comment>
    <comment ref="F7" authorId="0">
      <text>
        <r>
          <rPr>
            <sz val="8"/>
            <color indexed="81"/>
            <rFont val="Tahoma"/>
            <family val="2"/>
          </rPr>
          <t>Slope identified from regression of sales vs. period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E7" authorId="0">
      <text>
        <r>
          <rPr>
            <sz val="8"/>
            <color indexed="81"/>
            <rFont val="Tahoma"/>
            <family val="2"/>
          </rPr>
          <t>Level componet from regression of sales vs. period</t>
        </r>
      </text>
    </comment>
    <comment ref="F7" authorId="0">
      <text>
        <r>
          <rPr>
            <sz val="8"/>
            <color indexed="81"/>
            <rFont val="Tahoma"/>
            <family val="2"/>
          </rPr>
          <t>Slope identified from regression of sales vs. period</t>
        </r>
      </text>
    </comment>
  </commentList>
</comments>
</file>

<file path=xl/sharedStrings.xml><?xml version="1.0" encoding="utf-8"?>
<sst xmlns="http://schemas.openxmlformats.org/spreadsheetml/2006/main" count="372" uniqueCount="137">
  <si>
    <t>Period</t>
  </si>
  <si>
    <t>Level</t>
  </si>
  <si>
    <t>Forecast</t>
  </si>
  <si>
    <t>bias</t>
  </si>
  <si>
    <t>MSE</t>
  </si>
  <si>
    <t>MAD</t>
  </si>
  <si>
    <t>Percent Error</t>
  </si>
  <si>
    <t>MAPE</t>
  </si>
  <si>
    <t>TS</t>
  </si>
  <si>
    <t>Estimate of standard deviation of forecast error:</t>
  </si>
  <si>
    <t>Sales</t>
  </si>
  <si>
    <r>
      <t>E</t>
    </r>
    <r>
      <rPr>
        <b/>
        <vertAlign val="subscript"/>
        <sz val="12"/>
        <rFont val="Arial"/>
        <family val="2"/>
      </rPr>
      <t>t</t>
    </r>
  </si>
  <si>
    <r>
      <t>A</t>
    </r>
    <r>
      <rPr>
        <b/>
        <vertAlign val="subscript"/>
        <sz val="12"/>
        <rFont val="Arial"/>
        <family val="2"/>
      </rPr>
      <t>t</t>
    </r>
  </si>
  <si>
    <t>Trend</t>
  </si>
  <si>
    <t>Oat Cereals</t>
  </si>
  <si>
    <t>I</t>
  </si>
  <si>
    <t>II</t>
  </si>
  <si>
    <t>III</t>
  </si>
  <si>
    <t>IV</t>
  </si>
  <si>
    <t xml:space="preserve">DC </t>
  </si>
  <si>
    <t xml:space="preserve">Oat </t>
  </si>
  <si>
    <t xml:space="preserve">Corn </t>
  </si>
  <si>
    <t>Oat</t>
  </si>
  <si>
    <t xml:space="preserve">IND </t>
  </si>
  <si>
    <t xml:space="preserve">KAN </t>
  </si>
  <si>
    <t xml:space="preserve">MEM </t>
  </si>
  <si>
    <t xml:space="preserve">OMA </t>
  </si>
  <si>
    <t xml:space="preserve">STL </t>
  </si>
  <si>
    <t>Corn Cereals</t>
  </si>
  <si>
    <t>Sales Percentage</t>
  </si>
  <si>
    <t>IDAHO</t>
  </si>
  <si>
    <t>WIC</t>
  </si>
  <si>
    <t>IND</t>
  </si>
  <si>
    <t>MAINE</t>
  </si>
  <si>
    <t>CIN</t>
  </si>
  <si>
    <t>KAN</t>
  </si>
  <si>
    <t>IOWA</t>
  </si>
  <si>
    <t>PEO</t>
  </si>
  <si>
    <t>MEM</t>
  </si>
  <si>
    <t>BANDITO</t>
  </si>
  <si>
    <t>OMA</t>
  </si>
  <si>
    <t>STL</t>
  </si>
  <si>
    <t>Decision Variables</t>
  </si>
  <si>
    <t>Objective Function</t>
  </si>
  <si>
    <t>i:{1,2,3}</t>
  </si>
  <si>
    <t>j:{1,2,3,4}</t>
  </si>
  <si>
    <t>k:{1,2,3,4,5}</t>
  </si>
  <si>
    <t>Plants</t>
  </si>
  <si>
    <t>Suppliers</t>
  </si>
  <si>
    <t>DC</t>
  </si>
  <si>
    <t>OAT</t>
  </si>
  <si>
    <t>CORN</t>
  </si>
  <si>
    <t xml:space="preserve">Max Z = Gross revenues – Costs </t>
  </si>
  <si>
    <t>Gross Revenue</t>
  </si>
  <si>
    <t>Corn</t>
  </si>
  <si>
    <t xml:space="preserve">Unit Gross Revenues ($ per 100 cases) </t>
  </si>
  <si>
    <t>Suppliers variable cost</t>
  </si>
  <si>
    <t xml:space="preserve">IDAHO </t>
  </si>
  <si>
    <t xml:space="preserve">MAINE </t>
  </si>
  <si>
    <t xml:space="preserve">IOWA </t>
  </si>
  <si>
    <t>Supplier</t>
  </si>
  <si>
    <t>p:{1,2}</t>
  </si>
  <si>
    <t>Χijp=quantities from supplier i to plant j of product p</t>
  </si>
  <si>
    <t>Yjkp=quantities from plant j to DC k of product p</t>
  </si>
  <si>
    <t>Xij1</t>
  </si>
  <si>
    <t>Xij2</t>
  </si>
  <si>
    <t>Yji1</t>
  </si>
  <si>
    <t>Yji2</t>
  </si>
  <si>
    <t xml:space="preserve">Suppliers </t>
  </si>
  <si>
    <t xml:space="preserve">PEO </t>
  </si>
  <si>
    <t xml:space="preserve">WIC </t>
  </si>
  <si>
    <t xml:space="preserve">CIN </t>
  </si>
  <si>
    <t>Transportation cost</t>
  </si>
  <si>
    <t xml:space="preserve">Plant </t>
  </si>
  <si>
    <t xml:space="preserve">Unit freight cost </t>
  </si>
  <si>
    <t>per ton-mile</t>
  </si>
  <si>
    <t>Fixed Processing Costs ('000$)</t>
  </si>
  <si>
    <t xml:space="preserve">Variable Processing Costs ($ per ton) </t>
  </si>
  <si>
    <t>Variable Processing Cost</t>
  </si>
  <si>
    <t>Fixed Processing Cost</t>
  </si>
  <si>
    <t>Wjp=1, if plant j operates tp produce p / 0, otherwise</t>
  </si>
  <si>
    <t>Wj1</t>
  </si>
  <si>
    <t>Wj2</t>
  </si>
  <si>
    <t xml:space="preserve">Plants </t>
  </si>
  <si>
    <t>per 100 case-mile</t>
  </si>
  <si>
    <t>Packaging Utilization (shifts per 100 cases)</t>
  </si>
  <si>
    <t xml:space="preserve">CORN </t>
  </si>
  <si>
    <t>Fixed Packaging Cost</t>
  </si>
  <si>
    <t xml:space="preserve">Fixed Packaging Costs (‘000$) </t>
  </si>
  <si>
    <t xml:space="preserve">Packaging Capacity (shifts) </t>
  </si>
  <si>
    <t xml:space="preserve"> ton of oat gives 100 cases of oat cereals </t>
  </si>
  <si>
    <t xml:space="preserve"> ton of corn gives 100 cases of corn cereals</t>
  </si>
  <si>
    <t>Product conversion:</t>
  </si>
  <si>
    <t>Vj=1, if plant j operates / 0, otherwise</t>
  </si>
  <si>
    <t>Vj</t>
  </si>
  <si>
    <t>Oat / Corn</t>
  </si>
  <si>
    <t>Suppliers Upper bounds (‘000 tons)</t>
  </si>
  <si>
    <t>Constraints</t>
  </si>
  <si>
    <t>&gt;=</t>
  </si>
  <si>
    <t>&lt;=</t>
  </si>
  <si>
    <t>Supplier Lower bounds (Oat)</t>
  </si>
  <si>
    <t>Supplier Upper bounds (Corn)</t>
  </si>
  <si>
    <t>Supplier Upper bounds (Oat)</t>
  </si>
  <si>
    <t>Supplier Lower bounds (Corn)</t>
  </si>
  <si>
    <t>LHS</t>
  </si>
  <si>
    <t>RHS</t>
  </si>
  <si>
    <t>Processing Capacity (Oat)</t>
  </si>
  <si>
    <t>Processing Capacity (Corn)</t>
  </si>
  <si>
    <t>Packaging Capacity</t>
  </si>
  <si>
    <t>Part A</t>
  </si>
  <si>
    <t xml:space="preserve">Minimal Sales (100 cases) </t>
  </si>
  <si>
    <t>from Part A</t>
  </si>
  <si>
    <t>Minimal Sales (Oat)</t>
  </si>
  <si>
    <t>Maximal Sales (Oat)</t>
  </si>
  <si>
    <t>Minimal Sales (Corn)</t>
  </si>
  <si>
    <t>Maximal Sales (Corn)</t>
  </si>
  <si>
    <t>Product Conversion (Oat)</t>
  </si>
  <si>
    <t>Product Conversion (Corn)</t>
  </si>
  <si>
    <t>Link between W and V</t>
  </si>
  <si>
    <t>Logical Link between W and V</t>
  </si>
  <si>
    <t xml:space="preserve">Suppliers Costs ($ per ton) </t>
  </si>
  <si>
    <t>=</t>
  </si>
  <si>
    <t>Question c - miles restriction</t>
  </si>
  <si>
    <t>Sales cut-off or increment (%)</t>
  </si>
  <si>
    <t>For example, if 15% cut-off then this number should be 0.85</t>
  </si>
  <si>
    <t>To disable use</t>
  </si>
  <si>
    <t>Zi1</t>
  </si>
  <si>
    <t>Zi2</t>
  </si>
  <si>
    <t>Logical Link between Z and supplier flows</t>
  </si>
  <si>
    <t xml:space="preserve">Use 1 for Part B Qa and Qc </t>
  </si>
  <si>
    <t>Use 1.2 for Part C</t>
  </si>
  <si>
    <t>CHIQUITO</t>
  </si>
  <si>
    <t>Chiquito option</t>
  </si>
  <si>
    <r>
      <t>Z</t>
    </r>
    <r>
      <rPr>
        <vertAlign val="subscript"/>
        <sz val="11"/>
        <rFont val="Arial"/>
      </rPr>
      <t xml:space="preserve">ip </t>
    </r>
    <r>
      <rPr>
        <sz val="11"/>
        <rFont val="Arial"/>
      </rPr>
      <t>= 1 supplier i is used to supply product p / 0, otherwise</t>
    </r>
  </si>
  <si>
    <t>Suppliers Lower bounds            (‘000 tons)</t>
  </si>
  <si>
    <t>Variable Packaging Costs        ($ per 100 cases)</t>
  </si>
  <si>
    <t>Processing Capacity (‘000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</si>
</sst>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0.0000"/>
  </numFmts>
  <fonts count="16" x14ac:knownFonts="1">
    <font>
      <sz val="10"/>
      <name val="Arial"/>
    </font>
    <font>
      <sz val="8"/>
      <color indexed="81"/>
      <name val="Tahoma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Arial"/>
    </font>
    <font>
      <vertAlign val="subscript"/>
      <sz val="11"/>
      <name val="Arial"/>
    </font>
    <font>
      <sz val="11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2" fontId="6" fillId="0" borderId="5" xfId="0" applyNumberFormat="1" applyFont="1" applyBorder="1" applyAlignment="1">
      <alignment horizontal="center"/>
    </xf>
    <xf numFmtId="0" fontId="7" fillId="0" borderId="0" xfId="0" applyFont="1"/>
    <xf numFmtId="2" fontId="3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" fontId="4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7" borderId="6" xfId="0" applyFont="1" applyFill="1" applyBorder="1" applyAlignment="1">
      <alignment vertical="center"/>
    </xf>
    <xf numFmtId="0" fontId="9" fillId="7" borderId="8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0" fillId="11" borderId="0" xfId="1" applyFont="1" applyFill="1" applyAlignment="1">
      <alignment vertical="center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" fontId="0" fillId="5" borderId="12" xfId="0" applyNumberFormat="1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5" borderId="0" xfId="0" applyNumberFormat="1" applyFont="1" applyFill="1" applyBorder="1" applyAlignment="1">
      <alignment horizontal="center"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1" fontId="3" fillId="5" borderId="12" xfId="0" applyNumberFormat="1" applyFont="1" applyFill="1" applyBorder="1" applyAlignment="1">
      <alignment horizontal="center" vertical="center" wrapText="1"/>
    </xf>
    <xf numFmtId="1" fontId="3" fillId="5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Font="1" applyBorder="1" applyAlignment="1">
      <alignment vertical="center" wrapText="1"/>
    </xf>
    <xf numFmtId="0" fontId="4" fillId="0" borderId="0" xfId="0" applyFont="1" applyBorder="1"/>
    <xf numFmtId="4" fontId="9" fillId="0" borderId="0" xfId="0" applyNumberFormat="1" applyFont="1"/>
    <xf numFmtId="2" fontId="0" fillId="0" borderId="0" xfId="0" applyNumberFormat="1" applyFont="1" applyBorder="1" applyAlignment="1">
      <alignment vertical="center"/>
    </xf>
    <xf numFmtId="4" fontId="0" fillId="0" borderId="0" xfId="0" applyNumberFormat="1" applyFont="1"/>
    <xf numFmtId="43" fontId="15" fillId="0" borderId="0" xfId="0" applyNumberFormat="1" applyFont="1" applyBorder="1" applyAlignment="1">
      <alignment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8" fontId="15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8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2" fontId="0" fillId="8" borderId="9" xfId="0" applyNumberFormat="1" applyFont="1" applyFill="1" applyBorder="1" applyAlignment="1">
      <alignment horizontal="center" vertical="center"/>
    </xf>
    <xf numFmtId="2" fontId="0" fillId="8" borderId="10" xfId="0" applyNumberFormat="1" applyFont="1" applyFill="1" applyBorder="1" applyAlignment="1">
      <alignment horizontal="center" vertical="center"/>
    </xf>
    <xf numFmtId="2" fontId="0" fillId="8" borderId="11" xfId="0" applyNumberFormat="1" applyFont="1" applyFill="1" applyBorder="1" applyAlignment="1">
      <alignment horizontal="center" vertical="center"/>
    </xf>
    <xf numFmtId="2" fontId="0" fillId="8" borderId="13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3" fillId="1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Font="1"/>
    <xf numFmtId="2" fontId="0" fillId="11" borderId="6" xfId="0" applyNumberFormat="1" applyFont="1" applyFill="1" applyBorder="1" applyAlignment="1">
      <alignment horizontal="center" vertical="center"/>
    </xf>
    <xf numFmtId="2" fontId="0" fillId="11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0" fillId="11" borderId="9" xfId="0" applyNumberFormat="1" applyFont="1" applyFill="1" applyBorder="1" applyAlignment="1">
      <alignment horizontal="center" vertical="center"/>
    </xf>
    <xf numFmtId="2" fontId="0" fillId="11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/>
    </xf>
    <xf numFmtId="2" fontId="0" fillId="11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0" fillId="8" borderId="9" xfId="0" applyNumberFormat="1" applyFont="1" applyFill="1" applyBorder="1" applyAlignment="1">
      <alignment horizontal="center" vertical="center"/>
    </xf>
    <xf numFmtId="4" fontId="0" fillId="8" borderId="3" xfId="0" applyNumberFormat="1" applyFont="1" applyFill="1" applyBorder="1" applyAlignment="1">
      <alignment horizontal="center" vertical="center"/>
    </xf>
    <xf numFmtId="4" fontId="0" fillId="8" borderId="11" xfId="0" applyNumberFormat="1" applyFont="1" applyFill="1" applyBorder="1" applyAlignment="1">
      <alignment horizontal="center" vertical="center"/>
    </xf>
    <xf numFmtId="4" fontId="0" fillId="8" borderId="4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4" fontId="0" fillId="11" borderId="11" xfId="0" applyNumberFormat="1" applyFont="1" applyFill="1" applyBorder="1" applyAlignment="1">
      <alignment horizontal="center" vertical="center"/>
    </xf>
    <xf numFmtId="4" fontId="0" fillId="11" borderId="6" xfId="0" applyNumberFormat="1" applyFont="1" applyFill="1" applyBorder="1" applyAlignment="1">
      <alignment horizontal="center" vertical="center"/>
    </xf>
    <xf numFmtId="4" fontId="0" fillId="11" borderId="9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4" fontId="0" fillId="11" borderId="7" xfId="0" applyNumberFormat="1" applyFont="1" applyFill="1" applyBorder="1" applyAlignment="1">
      <alignment horizontal="center" vertical="center"/>
    </xf>
    <xf numFmtId="4" fontId="0" fillId="11" borderId="0" xfId="0" applyNumberFormat="1" applyFont="1" applyFill="1" applyBorder="1" applyAlignment="1">
      <alignment horizontal="center" vertical="center"/>
    </xf>
    <xf numFmtId="4" fontId="0" fillId="11" borderId="1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Oat Cereals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315063429571304"/>
                  <c:y val="0.303323490813648"/>
                </c:manualLayout>
              </c:layout>
              <c:numFmt formatCode="General" sourceLinked="0"/>
            </c:trendlineLbl>
          </c:trendline>
          <c:xVal>
            <c:numRef>
              <c:f>'Corn Forecast - Part A'!$C$8:$C$23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</c:numCache>
            </c:numRef>
          </c:xVal>
          <c:yVal>
            <c:numRef>
              <c:f>'Corn Forecast - Part A'!$D$8:$D$19</c:f>
              <c:numCache>
                <c:formatCode>#,##0</c:formatCode>
                <c:ptCount val="12"/>
                <c:pt idx="0">
                  <c:v>1902.0</c:v>
                </c:pt>
                <c:pt idx="1">
                  <c:v>2210.0</c:v>
                </c:pt>
                <c:pt idx="2">
                  <c:v>2608.0</c:v>
                </c:pt>
                <c:pt idx="3">
                  <c:v>2860.0</c:v>
                </c:pt>
                <c:pt idx="4">
                  <c:v>3030.0</c:v>
                </c:pt>
                <c:pt idx="5">
                  <c:v>3501.0</c:v>
                </c:pt>
                <c:pt idx="6">
                  <c:v>4004.0</c:v>
                </c:pt>
                <c:pt idx="7">
                  <c:v>4310.0</c:v>
                </c:pt>
                <c:pt idx="8">
                  <c:v>4604.0</c:v>
                </c:pt>
                <c:pt idx="9">
                  <c:v>4832.0</c:v>
                </c:pt>
                <c:pt idx="10">
                  <c:v>5080.0</c:v>
                </c:pt>
                <c:pt idx="11">
                  <c:v>5178.0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x"/>
            <c:size val="7"/>
          </c:marker>
          <c:xVal>
            <c:numRef>
              <c:f>'Corn Forecast - Part A'!$C$8:$C$23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</c:numCache>
            </c:numRef>
          </c:xVal>
          <c:yVal>
            <c:numRef>
              <c:f>'Corn Forecast - Part A'!$G$8:$G$23</c:f>
              <c:numCache>
                <c:formatCode>#,##0</c:formatCode>
                <c:ptCount val="16"/>
                <c:pt idx="0">
                  <c:v>1936.0</c:v>
                </c:pt>
                <c:pt idx="1">
                  <c:v>2250.13</c:v>
                </c:pt>
                <c:pt idx="2">
                  <c:v>2563.75285</c:v>
                </c:pt>
                <c:pt idx="3">
                  <c:v>2881.81579325</c:v>
                </c:pt>
                <c:pt idx="4">
                  <c:v>3196.46651037125</c:v>
                </c:pt>
                <c:pt idx="5">
                  <c:v>3503.052359084581</c:v>
                </c:pt>
                <c:pt idx="6">
                  <c:v>3817.848653566823</c:v>
                </c:pt>
                <c:pt idx="7">
                  <c:v>4142.985890057118</c:v>
                </c:pt>
                <c:pt idx="8">
                  <c:v>4468.001335272613</c:v>
                </c:pt>
                <c:pt idx="9">
                  <c:v>4792.14600155097</c:v>
                </c:pt>
                <c:pt idx="10">
                  <c:v>5111.682704507654</c:v>
                </c:pt>
                <c:pt idx="11">
                  <c:v>5427.484158793966</c:v>
                </c:pt>
                <c:pt idx="12">
                  <c:v>5731.14811957199</c:v>
                </c:pt>
                <c:pt idx="13">
                  <c:v>6047.286288289717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599000"/>
        <c:axId val="538511928"/>
      </c:scatterChart>
      <c:valAx>
        <c:axId val="538599000"/>
        <c:scaling>
          <c:orientation val="minMax"/>
          <c:max val="16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8511928"/>
        <c:crosses val="autoZero"/>
        <c:crossBetween val="midCat"/>
      </c:valAx>
      <c:valAx>
        <c:axId val="538511928"/>
        <c:scaling>
          <c:orientation val="minMax"/>
          <c:min val="100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538599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Oat Cereals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0315063429571304"/>
                  <c:y val="0.303323490813648"/>
                </c:manualLayout>
              </c:layout>
              <c:numFmt formatCode="General" sourceLinked="0"/>
            </c:trendlineLbl>
          </c:trendline>
          <c:xVal>
            <c:numRef>
              <c:f>'Oat Forecast - Part A'!$C$8:$C$23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</c:numCache>
            </c:numRef>
          </c:xVal>
          <c:yVal>
            <c:numRef>
              <c:f>'Oat Forecast - Part A'!$D$8:$D$19</c:f>
              <c:numCache>
                <c:formatCode>#,##0</c:formatCode>
                <c:ptCount val="12"/>
                <c:pt idx="0">
                  <c:v>4610.0</c:v>
                </c:pt>
                <c:pt idx="1">
                  <c:v>4813.0</c:v>
                </c:pt>
                <c:pt idx="2">
                  <c:v>5071.0</c:v>
                </c:pt>
                <c:pt idx="3">
                  <c:v>5245.0</c:v>
                </c:pt>
                <c:pt idx="4">
                  <c:v>5458.0</c:v>
                </c:pt>
                <c:pt idx="5">
                  <c:v>5648.0</c:v>
                </c:pt>
                <c:pt idx="6">
                  <c:v>5824.0</c:v>
                </c:pt>
                <c:pt idx="7">
                  <c:v>6050.0</c:v>
                </c:pt>
                <c:pt idx="8">
                  <c:v>6364.0</c:v>
                </c:pt>
                <c:pt idx="9">
                  <c:v>6576.0</c:v>
                </c:pt>
                <c:pt idx="10">
                  <c:v>6787.0</c:v>
                </c:pt>
                <c:pt idx="11">
                  <c:v>7034.0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x"/>
            <c:size val="7"/>
          </c:marker>
          <c:xVal>
            <c:numRef>
              <c:f>'Oat Forecast - Part A'!$C$8:$C$23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</c:numCache>
            </c:numRef>
          </c:xVal>
          <c:yVal>
            <c:numRef>
              <c:f>'Oat Forecast - Part A'!$G$8:$G$23</c:f>
              <c:numCache>
                <c:formatCode>#,##0</c:formatCode>
                <c:ptCount val="16"/>
                <c:pt idx="0">
                  <c:v>4587.0</c:v>
                </c:pt>
                <c:pt idx="1">
                  <c:v>4806.265</c:v>
                </c:pt>
                <c:pt idx="2">
                  <c:v>5024.750424999998</c:v>
                </c:pt>
                <c:pt idx="3">
                  <c:v>5245.442826624997</c:v>
                </c:pt>
                <c:pt idx="4">
                  <c:v>5463.798394035623</c:v>
                </c:pt>
                <c:pt idx="5">
                  <c:v>5681.857191105537</c:v>
                </c:pt>
                <c:pt idx="6">
                  <c:v>5898.343762366429</c:v>
                </c:pt>
                <c:pt idx="7">
                  <c:v>6112.434286252444</c:v>
                </c:pt>
                <c:pt idx="8">
                  <c:v>6326.808112512896</c:v>
                </c:pt>
                <c:pt idx="9">
                  <c:v>6546.34920689776</c:v>
                </c:pt>
                <c:pt idx="10">
                  <c:v>6765.661500528894</c:v>
                </c:pt>
                <c:pt idx="11">
                  <c:v>6984.664871975826</c:v>
                </c:pt>
                <c:pt idx="12">
                  <c:v>7205.314750490533</c:v>
                </c:pt>
                <c:pt idx="13">
                  <c:v>7423.49787260403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719336"/>
        <c:axId val="538501752"/>
      </c:scatterChart>
      <c:valAx>
        <c:axId val="538719336"/>
        <c:scaling>
          <c:orientation val="minMax"/>
          <c:max val="16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8501752"/>
        <c:crosses val="autoZero"/>
        <c:crossBetween val="midCat"/>
      </c:valAx>
      <c:valAx>
        <c:axId val="538501752"/>
        <c:scaling>
          <c:orientation val="minMax"/>
          <c:min val="100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538719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25</xdr:row>
      <xdr:rowOff>100012</xdr:rowOff>
    </xdr:from>
    <xdr:to>
      <xdr:col>16</xdr:col>
      <xdr:colOff>200025</xdr:colOff>
      <xdr:row>41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25</xdr:row>
      <xdr:rowOff>100012</xdr:rowOff>
    </xdr:from>
    <xdr:to>
      <xdr:col>16</xdr:col>
      <xdr:colOff>200025</xdr:colOff>
      <xdr:row>41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1"/>
  <sheetViews>
    <sheetView workbookViewId="0">
      <selection activeCell="E8" sqref="E8"/>
    </sheetView>
  </sheetViews>
  <sheetFormatPr baseColWidth="10" defaultColWidth="8.83203125" defaultRowHeight="12" x14ac:dyDescent="0"/>
  <cols>
    <col min="1" max="1" width="8" style="1" customWidth="1"/>
    <col min="2" max="2" width="9.6640625" style="1" bestFit="1" customWidth="1"/>
    <col min="3" max="4" width="8" style="1" customWidth="1"/>
    <col min="5" max="6" width="9.5" bestFit="1" customWidth="1"/>
    <col min="7" max="7" width="13.5" customWidth="1"/>
    <col min="8" max="8" width="9.5" customWidth="1"/>
    <col min="9" max="9" width="3.83203125" customWidth="1"/>
    <col min="10" max="12" width="8.5" customWidth="1"/>
    <col min="13" max="13" width="12.5" customWidth="1"/>
    <col min="14" max="14" width="8.5" customWidth="1"/>
    <col min="15" max="15" width="9.83203125" bestFit="1" customWidth="1"/>
    <col min="16" max="17" width="8.5" customWidth="1"/>
    <col min="18" max="18" width="4.5" customWidth="1"/>
    <col min="19" max="19" width="33.33203125" bestFit="1" customWidth="1"/>
    <col min="20" max="20" width="16.1640625" bestFit="1" customWidth="1"/>
    <col min="21" max="21" width="17.5" customWidth="1"/>
    <col min="22" max="22" width="16.1640625" bestFit="1" customWidth="1"/>
    <col min="23" max="23" width="16.33203125" bestFit="1" customWidth="1"/>
    <col min="24" max="24" width="16.83203125" bestFit="1" customWidth="1"/>
  </cols>
  <sheetData>
    <row r="1" spans="1:24" ht="15">
      <c r="A1" s="3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6" t="s">
        <v>109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>
      <c r="A3" s="6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6"/>
      <c r="B4" s="4"/>
      <c r="C4" s="6" t="s">
        <v>28</v>
      </c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0">
      <c r="A6" s="7"/>
      <c r="B6" s="7"/>
      <c r="C6" s="7" t="s">
        <v>0</v>
      </c>
      <c r="D6" s="7" t="s">
        <v>10</v>
      </c>
      <c r="E6" s="8" t="s">
        <v>1</v>
      </c>
      <c r="F6" s="8" t="s">
        <v>13</v>
      </c>
      <c r="G6" s="8" t="s">
        <v>2</v>
      </c>
      <c r="H6" s="8"/>
      <c r="I6" s="5"/>
      <c r="J6" s="9" t="s">
        <v>11</v>
      </c>
      <c r="K6" s="9" t="s">
        <v>12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5"/>
      <c r="S6" s="5"/>
      <c r="T6" s="5"/>
      <c r="U6" s="20"/>
      <c r="V6" s="20"/>
      <c r="W6" s="5"/>
      <c r="X6" s="5"/>
    </row>
    <row r="7" spans="1:24" ht="15">
      <c r="A7" s="4"/>
      <c r="B7" s="4"/>
      <c r="C7" s="4">
        <v>0</v>
      </c>
      <c r="D7" s="35"/>
      <c r="E7" s="35">
        <v>1620</v>
      </c>
      <c r="F7" s="4">
        <v>316</v>
      </c>
      <c r="G7" s="5"/>
      <c r="H7" s="5"/>
      <c r="I7" s="5"/>
      <c r="J7" s="10"/>
      <c r="K7" s="10"/>
      <c r="L7" s="10"/>
      <c r="M7" s="10"/>
      <c r="N7" s="10"/>
      <c r="O7" s="10"/>
      <c r="P7" s="10"/>
      <c r="Q7" s="21"/>
      <c r="R7" s="5"/>
      <c r="S7" s="5"/>
      <c r="T7" s="5"/>
      <c r="U7" s="22"/>
      <c r="V7" s="23"/>
      <c r="W7" s="5"/>
      <c r="X7" s="5"/>
    </row>
    <row r="8" spans="1:24" ht="15">
      <c r="A8" s="4">
        <v>2011</v>
      </c>
      <c r="B8" s="26" t="s">
        <v>15</v>
      </c>
      <c r="C8" s="4">
        <v>1</v>
      </c>
      <c r="D8" s="36">
        <v>1902</v>
      </c>
      <c r="E8" s="35">
        <f t="shared" ref="E8:E19" si="0">0.05*D8+(1-0.05)*(E7+F7)</f>
        <v>1934.2999999999997</v>
      </c>
      <c r="F8" s="12">
        <f>0.1*(E8-E7)+(1-0.1)*F7</f>
        <v>315.83</v>
      </c>
      <c r="G8" s="35">
        <f t="shared" ref="G8:G20" si="1">E7+F7</f>
        <v>1936</v>
      </c>
      <c r="H8" s="11"/>
      <c r="I8" s="5"/>
      <c r="J8" s="13">
        <f t="shared" ref="J8:J19" si="2">G8-D8</f>
        <v>34</v>
      </c>
      <c r="K8" s="13">
        <f t="shared" ref="K8:K19" si="3">ABS(J8)</f>
        <v>34</v>
      </c>
      <c r="L8" s="13">
        <f>SUM($J$8:J8)</f>
        <v>34</v>
      </c>
      <c r="M8" s="13">
        <f>SUMSQ($J$8:J8)/C8</f>
        <v>1156</v>
      </c>
      <c r="N8" s="13">
        <f>SUM($K$8:K8)/C8</f>
        <v>34</v>
      </c>
      <c r="O8" s="13">
        <f t="shared" ref="O8:O19" si="4">K8/D8*100</f>
        <v>1.7875920084121977</v>
      </c>
      <c r="P8" s="13">
        <f>AVERAGE($O$8:O8)</f>
        <v>1.7875920084121977</v>
      </c>
      <c r="Q8" s="14">
        <f>SUM($J$8:J8)/N8</f>
        <v>1</v>
      </c>
      <c r="R8" s="5"/>
      <c r="S8" s="5"/>
      <c r="T8" s="5"/>
      <c r="U8" s="22"/>
      <c r="V8" s="23"/>
      <c r="W8" s="5"/>
      <c r="X8" s="5"/>
    </row>
    <row r="9" spans="1:24" ht="15">
      <c r="A9" s="4"/>
      <c r="B9" s="4" t="s">
        <v>16</v>
      </c>
      <c r="C9" s="4">
        <v>2</v>
      </c>
      <c r="D9" s="36">
        <v>2210</v>
      </c>
      <c r="E9" s="35">
        <f t="shared" si="0"/>
        <v>2248.1234999999997</v>
      </c>
      <c r="F9" s="12">
        <f t="shared" ref="F9:F19" si="5">0.1*(E9-E8)+(1-0.1)*F8</f>
        <v>315.62934999999999</v>
      </c>
      <c r="G9" s="35">
        <f t="shared" si="1"/>
        <v>2250.1299999999997</v>
      </c>
      <c r="H9" s="11"/>
      <c r="I9" s="5"/>
      <c r="J9" s="13">
        <f t="shared" si="2"/>
        <v>40.129999999999654</v>
      </c>
      <c r="K9" s="13">
        <f t="shared" si="3"/>
        <v>40.129999999999654</v>
      </c>
      <c r="L9" s="13">
        <f>SUM($J$8:J9)</f>
        <v>74.129999999999654</v>
      </c>
      <c r="M9" s="13">
        <f>SUMSQ($J$8:J9)/C9</f>
        <v>1383.208449999986</v>
      </c>
      <c r="N9" s="13">
        <f>SUM($K$8:K9)/C9</f>
        <v>37.064999999999827</v>
      </c>
      <c r="O9" s="13">
        <f t="shared" si="4"/>
        <v>1.8158371040723826</v>
      </c>
      <c r="P9" s="13">
        <f>AVERAGE($O$8:O9)</f>
        <v>1.80171455624229</v>
      </c>
      <c r="Q9" s="14">
        <f>SUM($J$8:J9)/N9</f>
        <v>2</v>
      </c>
      <c r="R9" s="5"/>
      <c r="S9" s="5"/>
      <c r="T9" s="5"/>
      <c r="U9" s="22"/>
      <c r="V9" s="23"/>
      <c r="W9" s="5"/>
      <c r="X9" s="5"/>
    </row>
    <row r="10" spans="1:24" ht="15">
      <c r="A10" s="4"/>
      <c r="B10" s="4" t="s">
        <v>17</v>
      </c>
      <c r="C10" s="4">
        <v>3</v>
      </c>
      <c r="D10" s="36">
        <v>2608</v>
      </c>
      <c r="E10" s="35">
        <f t="shared" si="0"/>
        <v>2565.9652074999999</v>
      </c>
      <c r="F10" s="12">
        <f t="shared" si="5"/>
        <v>315.85058575000005</v>
      </c>
      <c r="G10" s="35">
        <f t="shared" si="1"/>
        <v>2563.7528499999999</v>
      </c>
      <c r="H10" s="11"/>
      <c r="I10" s="5"/>
      <c r="J10" s="13">
        <f t="shared" si="2"/>
        <v>-44.247150000000147</v>
      </c>
      <c r="K10" s="13">
        <f t="shared" si="3"/>
        <v>44.247150000000147</v>
      </c>
      <c r="L10" s="13">
        <f>SUM($J$8:J10)</f>
        <v>29.882849999999507</v>
      </c>
      <c r="M10" s="13">
        <f>SUMSQ($J$8:J10)/C10</f>
        <v>1574.7423943741617</v>
      </c>
      <c r="N10" s="13">
        <f>SUM($K$8:K10)/C10</f>
        <v>39.459049999999934</v>
      </c>
      <c r="O10" s="13">
        <f t="shared" si="4"/>
        <v>1.6965931748466314</v>
      </c>
      <c r="P10" s="13">
        <f>AVERAGE($O$8:O10)</f>
        <v>1.7666740957770706</v>
      </c>
      <c r="Q10" s="14">
        <f>SUM($J$8:J10)/N10</f>
        <v>0.75731296115845559</v>
      </c>
      <c r="R10" s="5"/>
      <c r="S10" s="5"/>
      <c r="T10" s="5"/>
      <c r="U10" s="22"/>
      <c r="V10" s="23"/>
      <c r="W10" s="5"/>
      <c r="X10" s="5"/>
    </row>
    <row r="11" spans="1:24" ht="15">
      <c r="A11" s="4"/>
      <c r="B11" s="4" t="s">
        <v>18</v>
      </c>
      <c r="C11" s="4">
        <v>4</v>
      </c>
      <c r="D11" s="36">
        <v>2860</v>
      </c>
      <c r="E11" s="35">
        <f t="shared" si="0"/>
        <v>2880.7250035874999</v>
      </c>
      <c r="F11" s="12">
        <f t="shared" si="5"/>
        <v>315.74150678375003</v>
      </c>
      <c r="G11" s="35">
        <f t="shared" si="1"/>
        <v>2881.8157932499998</v>
      </c>
      <c r="H11" s="11"/>
      <c r="I11" s="5"/>
      <c r="J11" s="13">
        <f t="shared" si="2"/>
        <v>21.815793249999842</v>
      </c>
      <c r="K11" s="13">
        <f t="shared" si="3"/>
        <v>21.815793249999842</v>
      </c>
      <c r="L11" s="13">
        <f>SUM($J$8:J11)</f>
        <v>51.69864324999935</v>
      </c>
      <c r="M11" s="13">
        <f>SUMSQ($J$8:J11)/C11</f>
        <v>1300.039004562306</v>
      </c>
      <c r="N11" s="13">
        <f>SUM($K$8:K11)/C11</f>
        <v>35.048235812499911</v>
      </c>
      <c r="O11" s="13">
        <f t="shared" si="4"/>
        <v>0.76278997377621827</v>
      </c>
      <c r="P11" s="13">
        <f>AVERAGE($O$8:O11)</f>
        <v>1.5157030652768575</v>
      </c>
      <c r="Q11" s="14">
        <f>SUM($J$8:J11)/N11</f>
        <v>1.4750711997766544</v>
      </c>
      <c r="R11" s="5"/>
      <c r="S11" s="5"/>
      <c r="T11" s="5"/>
      <c r="U11" s="22"/>
      <c r="V11" s="23"/>
      <c r="W11" s="5"/>
      <c r="X11" s="5"/>
    </row>
    <row r="12" spans="1:24" ht="15">
      <c r="A12" s="4">
        <v>2012</v>
      </c>
      <c r="B12" s="4" t="s">
        <v>15</v>
      </c>
      <c r="C12" s="4">
        <v>5</v>
      </c>
      <c r="D12" s="36">
        <v>3030</v>
      </c>
      <c r="E12" s="35">
        <f t="shared" si="0"/>
        <v>3188.1431848526872</v>
      </c>
      <c r="F12" s="12">
        <f t="shared" si="5"/>
        <v>314.90917423189376</v>
      </c>
      <c r="G12" s="35">
        <f t="shared" si="1"/>
        <v>3196.46651037125</v>
      </c>
      <c r="H12" s="11"/>
      <c r="I12" s="5"/>
      <c r="J12" s="13">
        <f t="shared" si="2"/>
        <v>166.46651037125002</v>
      </c>
      <c r="K12" s="13">
        <f t="shared" si="3"/>
        <v>166.46651037125002</v>
      </c>
      <c r="L12" s="13">
        <f>SUM($J$8:J12)</f>
        <v>218.16515362124937</v>
      </c>
      <c r="M12" s="13">
        <f>SUMSQ($J$8:J12)/C12</f>
        <v>6582.2510186861427</v>
      </c>
      <c r="N12" s="13">
        <f>SUM($K$8:K12)/C12</f>
        <v>61.331890724249931</v>
      </c>
      <c r="O12" s="13">
        <f t="shared" si="4"/>
        <v>5.4939442366749187</v>
      </c>
      <c r="P12" s="13">
        <f>AVERAGE($O$8:O12)</f>
        <v>2.3113512995564696</v>
      </c>
      <c r="Q12" s="14">
        <f>SUM($J$8:J12)/N12</f>
        <v>3.5571242145807411</v>
      </c>
      <c r="R12" s="5"/>
      <c r="S12" s="5"/>
      <c r="T12" s="5"/>
      <c r="U12" s="22"/>
      <c r="V12" s="23"/>
      <c r="W12" s="5"/>
      <c r="X12" s="5"/>
    </row>
    <row r="13" spans="1:24" ht="15">
      <c r="A13" s="4"/>
      <c r="B13" s="4" t="s">
        <v>16</v>
      </c>
      <c r="C13" s="4">
        <v>6</v>
      </c>
      <c r="D13" s="36">
        <v>3501</v>
      </c>
      <c r="E13" s="35">
        <f t="shared" si="0"/>
        <v>3502.9497411303519</v>
      </c>
      <c r="F13" s="12">
        <f t="shared" si="5"/>
        <v>314.89891243647082</v>
      </c>
      <c r="G13" s="35">
        <f t="shared" si="1"/>
        <v>3503.052359084581</v>
      </c>
      <c r="H13" s="11"/>
      <c r="I13" s="5"/>
      <c r="J13" s="13">
        <f t="shared" si="2"/>
        <v>2.0523590845809849</v>
      </c>
      <c r="K13" s="13">
        <f t="shared" si="3"/>
        <v>2.0523590845809849</v>
      </c>
      <c r="L13" s="13">
        <f>SUM($J$8:J13)</f>
        <v>220.21751270583036</v>
      </c>
      <c r="M13" s="13">
        <f>SUMSQ($J$8:J13)/C13</f>
        <v>5485.9112118737967</v>
      </c>
      <c r="N13" s="13">
        <f>SUM($K$8:K13)/C13</f>
        <v>51.451968784305109</v>
      </c>
      <c r="O13" s="13">
        <f t="shared" si="4"/>
        <v>5.8622081821793341E-2</v>
      </c>
      <c r="P13" s="13">
        <f>AVERAGE($O$8:O13)</f>
        <v>1.9358964299340238</v>
      </c>
      <c r="Q13" s="14">
        <f>SUM($J$8:J13)/N13</f>
        <v>4.2800599842742155</v>
      </c>
      <c r="R13" s="5"/>
      <c r="S13" s="5"/>
      <c r="T13" s="5"/>
      <c r="U13" s="22"/>
      <c r="V13" s="23"/>
      <c r="W13" s="5"/>
      <c r="X13" s="5"/>
    </row>
    <row r="14" spans="1:24" ht="15">
      <c r="A14" s="4"/>
      <c r="B14" s="4" t="s">
        <v>17</v>
      </c>
      <c r="C14" s="4">
        <v>7</v>
      </c>
      <c r="D14" s="36">
        <v>4004</v>
      </c>
      <c r="E14" s="35">
        <f t="shared" si="0"/>
        <v>3827.1562208884811</v>
      </c>
      <c r="F14" s="12">
        <f t="shared" si="5"/>
        <v>315.82966916863666</v>
      </c>
      <c r="G14" s="35">
        <f t="shared" si="1"/>
        <v>3817.8486535668226</v>
      </c>
      <c r="H14" s="11"/>
      <c r="I14" s="5"/>
      <c r="J14" s="13">
        <f t="shared" si="2"/>
        <v>-186.15134643317742</v>
      </c>
      <c r="K14" s="13">
        <f t="shared" si="3"/>
        <v>186.15134643317742</v>
      </c>
      <c r="L14" s="13">
        <f>SUM($J$8:J14)</f>
        <v>34.066166272652936</v>
      </c>
      <c r="M14" s="13">
        <f>SUMSQ($J$8:J14)/C14</f>
        <v>9652.5415785896603</v>
      </c>
      <c r="N14" s="13">
        <f>SUM($K$8:K14)/C14</f>
        <v>70.694737019858295</v>
      </c>
      <c r="O14" s="13">
        <f t="shared" si="4"/>
        <v>4.6491345263031318</v>
      </c>
      <c r="P14" s="13">
        <f>AVERAGE($O$8:O14)</f>
        <v>2.3235018722724674</v>
      </c>
      <c r="Q14" s="14">
        <f>SUM($J$8:J14)/N14</f>
        <v>0.48187697852364431</v>
      </c>
      <c r="R14" s="5"/>
      <c r="S14" s="5"/>
      <c r="T14" s="5"/>
      <c r="U14" s="22"/>
      <c r="V14" s="23"/>
      <c r="W14" s="5"/>
      <c r="X14" s="5"/>
    </row>
    <row r="15" spans="1:24" ht="15">
      <c r="A15" s="4"/>
      <c r="B15" s="4" t="s">
        <v>18</v>
      </c>
      <c r="C15" s="4">
        <v>8</v>
      </c>
      <c r="D15" s="36">
        <v>4310</v>
      </c>
      <c r="E15" s="35">
        <f t="shared" si="0"/>
        <v>4151.3365955542613</v>
      </c>
      <c r="F15" s="12">
        <f t="shared" si="5"/>
        <v>316.66473971835103</v>
      </c>
      <c r="G15" s="35">
        <f t="shared" si="1"/>
        <v>4142.985890057118</v>
      </c>
      <c r="H15" s="11"/>
      <c r="I15" s="5"/>
      <c r="J15" s="13">
        <f t="shared" si="2"/>
        <v>-167.01410994288199</v>
      </c>
      <c r="K15" s="13">
        <f t="shared" si="3"/>
        <v>167.01410994288199</v>
      </c>
      <c r="L15" s="13">
        <f>SUM($J$8:J15)</f>
        <v>-132.94794367022905</v>
      </c>
      <c r="M15" s="13">
        <f>SUMSQ($J$8:J15)/C15</f>
        <v>11932.687996267587</v>
      </c>
      <c r="N15" s="13">
        <f>SUM($K$8:K15)/C15</f>
        <v>82.734658635236258</v>
      </c>
      <c r="O15" s="13">
        <f t="shared" si="4"/>
        <v>3.875037353663155</v>
      </c>
      <c r="P15" s="13">
        <f>AVERAGE($O$8:O15)</f>
        <v>2.5174438074463037</v>
      </c>
      <c r="Q15" s="14">
        <f>SUM($J$8:J15)/N15</f>
        <v>-1.606919589242219</v>
      </c>
      <c r="R15" s="5"/>
      <c r="S15" s="5"/>
      <c r="T15" s="5"/>
      <c r="U15" s="22"/>
      <c r="V15" s="23"/>
      <c r="W15" s="5"/>
      <c r="X15" s="5"/>
    </row>
    <row r="16" spans="1:24" ht="15">
      <c r="A16" s="4">
        <v>2013</v>
      </c>
      <c r="B16" s="4" t="s">
        <v>15</v>
      </c>
      <c r="C16" s="4">
        <v>9</v>
      </c>
      <c r="D16" s="36">
        <v>4604</v>
      </c>
      <c r="E16" s="35">
        <f t="shared" si="0"/>
        <v>4474.8012685089816</v>
      </c>
      <c r="F16" s="12">
        <f t="shared" si="5"/>
        <v>317.34473304198798</v>
      </c>
      <c r="G16" s="35">
        <f t="shared" si="1"/>
        <v>4468.0013352726128</v>
      </c>
      <c r="H16" s="11"/>
      <c r="I16" s="5"/>
      <c r="J16" s="13">
        <f t="shared" si="2"/>
        <v>-135.99866472738722</v>
      </c>
      <c r="K16" s="13">
        <f t="shared" si="3"/>
        <v>135.99866472738722</v>
      </c>
      <c r="L16" s="13">
        <f>SUM($J$8:J16)</f>
        <v>-268.94660839761627</v>
      </c>
      <c r="M16" s="13">
        <f>SUMSQ($J$8:J16)/C16</f>
        <v>12661.904530863663</v>
      </c>
      <c r="N16" s="13">
        <f>SUM($K$8:K16)/C16</f>
        <v>88.652881534364141</v>
      </c>
      <c r="O16" s="13">
        <f t="shared" si="4"/>
        <v>2.9539240818285668</v>
      </c>
      <c r="P16" s="13">
        <f>AVERAGE($O$8:O16)</f>
        <v>2.5659416157109995</v>
      </c>
      <c r="Q16" s="14">
        <f>SUM($J$8:J16)/N16</f>
        <v>-3.0337040798089077</v>
      </c>
      <c r="R16" s="5"/>
      <c r="S16" s="5"/>
      <c r="T16" s="5"/>
      <c r="U16" s="22"/>
      <c r="V16" s="23"/>
      <c r="W16" s="5"/>
      <c r="X16" s="5"/>
    </row>
    <row r="17" spans="1:24" ht="15">
      <c r="A17" s="4"/>
      <c r="B17" s="4" t="s">
        <v>16</v>
      </c>
      <c r="C17" s="4">
        <v>10</v>
      </c>
      <c r="D17" s="36">
        <v>4832</v>
      </c>
      <c r="E17" s="35">
        <f t="shared" si="0"/>
        <v>4794.138701473421</v>
      </c>
      <c r="F17" s="12">
        <f t="shared" si="5"/>
        <v>317.54400303423313</v>
      </c>
      <c r="G17" s="35">
        <f t="shared" si="1"/>
        <v>4792.1460015509692</v>
      </c>
      <c r="H17" s="11"/>
      <c r="I17" s="5"/>
      <c r="J17" s="13">
        <f t="shared" si="2"/>
        <v>-39.853998449030769</v>
      </c>
      <c r="K17" s="13">
        <f t="shared" si="3"/>
        <v>39.853998449030769</v>
      </c>
      <c r="L17" s="13">
        <f>SUM($J$8:J17)</f>
        <v>-308.80060684664704</v>
      </c>
      <c r="M17" s="13">
        <f>SUMSQ($J$8:J17)/C17</f>
        <v>11554.54819701483</v>
      </c>
      <c r="N17" s="13">
        <f>SUM($K$8:K17)/C17</f>
        <v>83.772993225830803</v>
      </c>
      <c r="O17" s="13">
        <f t="shared" si="4"/>
        <v>0.82479301425974272</v>
      </c>
      <c r="P17" s="13">
        <f>AVERAGE($O$8:O17)</f>
        <v>2.3918267555658739</v>
      </c>
      <c r="Q17" s="14">
        <f>SUM($J$8:J17)/N17</f>
        <v>-3.6861594047881123</v>
      </c>
      <c r="R17" s="5"/>
      <c r="S17" s="5"/>
      <c r="T17" s="5"/>
      <c r="U17" s="22"/>
      <c r="V17" s="23"/>
      <c r="W17" s="5"/>
      <c r="X17" s="5"/>
    </row>
    <row r="18" spans="1:24" ht="15">
      <c r="A18" s="4"/>
      <c r="B18" s="4" t="s">
        <v>17</v>
      </c>
      <c r="C18" s="4">
        <v>11</v>
      </c>
      <c r="D18" s="36">
        <v>5080</v>
      </c>
      <c r="E18" s="35">
        <f t="shared" si="0"/>
        <v>5110.0985692822715</v>
      </c>
      <c r="F18" s="12">
        <f t="shared" si="5"/>
        <v>317.38558951169483</v>
      </c>
      <c r="G18" s="35">
        <f t="shared" si="1"/>
        <v>5111.6827045076543</v>
      </c>
      <c r="H18" s="11"/>
      <c r="I18" s="5"/>
      <c r="J18" s="13">
        <f t="shared" si="2"/>
        <v>31.682704507654307</v>
      </c>
      <c r="K18" s="13">
        <f t="shared" si="3"/>
        <v>31.682704507654307</v>
      </c>
      <c r="L18" s="13">
        <f>SUM($J$8:J18)</f>
        <v>-277.11790233899274</v>
      </c>
      <c r="M18" s="13">
        <f>SUMSQ($J$8:J18)/C18</f>
        <v>10595.388703187968</v>
      </c>
      <c r="N18" s="13">
        <f>SUM($K$8:K18)/C18</f>
        <v>79.037512433269299</v>
      </c>
      <c r="O18" s="13">
        <f t="shared" si="4"/>
        <v>0.6236752855837463</v>
      </c>
      <c r="P18" s="13">
        <f>AVERAGE($O$8:O18)</f>
        <v>2.2310857128402262</v>
      </c>
      <c r="Q18" s="14">
        <f>SUM($J$8:J18)/N18</f>
        <v>-3.5061566819041912</v>
      </c>
      <c r="R18" s="5"/>
      <c r="S18" s="5"/>
      <c r="T18" s="5"/>
      <c r="U18" s="22"/>
      <c r="V18" s="23"/>
      <c r="W18" s="5"/>
      <c r="X18" s="5"/>
    </row>
    <row r="19" spans="1:24" ht="15">
      <c r="A19" s="4"/>
      <c r="B19" s="4" t="s">
        <v>18</v>
      </c>
      <c r="C19" s="4">
        <v>12</v>
      </c>
      <c r="D19" s="36">
        <v>5178</v>
      </c>
      <c r="E19" s="35">
        <f t="shared" si="0"/>
        <v>5415.0099508542671</v>
      </c>
      <c r="F19" s="12">
        <f t="shared" si="5"/>
        <v>316.13816871772491</v>
      </c>
      <c r="G19" s="35">
        <f t="shared" si="1"/>
        <v>5427.4841587939663</v>
      </c>
      <c r="H19" s="11"/>
      <c r="I19" s="5"/>
      <c r="J19" s="13">
        <f t="shared" si="2"/>
        <v>249.48415879396634</v>
      </c>
      <c r="K19" s="13">
        <f t="shared" si="3"/>
        <v>249.48415879396634</v>
      </c>
      <c r="L19" s="13">
        <f>SUM($J$8:J19)</f>
        <v>-27.633743545026391</v>
      </c>
      <c r="M19" s="25">
        <f>SUMSQ($J$8:J19)/C19</f>
        <v>14899.301768683386</v>
      </c>
      <c r="N19" s="25">
        <f>SUM($K$8:K19)/C19</f>
        <v>93.241399629994064</v>
      </c>
      <c r="O19" s="13">
        <f t="shared" si="4"/>
        <v>4.8181567940124825</v>
      </c>
      <c r="P19" s="25">
        <f>AVERAGE($O$8:O19)</f>
        <v>2.4466749696045809</v>
      </c>
      <c r="Q19" s="14">
        <f>SUM($J$8:J19)/N19</f>
        <v>-0.29636774710251257</v>
      </c>
      <c r="R19" s="5"/>
      <c r="S19" s="5"/>
      <c r="T19" s="5"/>
      <c r="U19" s="22"/>
      <c r="V19" s="23"/>
      <c r="W19" s="5"/>
      <c r="X19" s="5"/>
    </row>
    <row r="20" spans="1:24" ht="15">
      <c r="A20" s="4">
        <v>2014</v>
      </c>
      <c r="B20" s="4" t="s">
        <v>15</v>
      </c>
      <c r="C20" s="4">
        <v>13</v>
      </c>
      <c r="D20"/>
      <c r="G20" s="37">
        <f t="shared" si="1"/>
        <v>5731.1481195719916</v>
      </c>
      <c r="H20" s="11"/>
      <c r="I20" s="5"/>
      <c r="J20" s="13"/>
      <c r="K20" s="13"/>
      <c r="L20" s="13"/>
      <c r="M20" s="13"/>
      <c r="N20" s="13"/>
      <c r="O20" s="13"/>
      <c r="P20" s="13"/>
      <c r="Q20" s="14"/>
      <c r="R20" s="5"/>
      <c r="S20" s="5"/>
      <c r="T20" s="5"/>
      <c r="U20" s="22"/>
      <c r="V20" s="23"/>
      <c r="W20" s="5"/>
      <c r="X20" s="5"/>
    </row>
    <row r="21" spans="1:24" ht="15">
      <c r="A21" s="4"/>
      <c r="B21" s="4" t="s">
        <v>16</v>
      </c>
      <c r="C21" s="4">
        <v>14</v>
      </c>
      <c r="D21"/>
      <c r="G21" s="37">
        <f>E19+F19*(C21-C19)</f>
        <v>6047.286288289717</v>
      </c>
      <c r="H21" s="11"/>
      <c r="I21" s="5"/>
      <c r="J21" s="13"/>
      <c r="K21" s="13"/>
      <c r="L21" s="13"/>
      <c r="M21" s="13"/>
      <c r="N21" s="13"/>
      <c r="O21" s="13"/>
      <c r="P21" s="13"/>
      <c r="Q21" s="14"/>
      <c r="R21" s="5"/>
      <c r="S21" s="5"/>
      <c r="T21" s="5"/>
      <c r="U21" s="22"/>
      <c r="V21" s="23"/>
      <c r="W21" s="5"/>
      <c r="X21" s="5"/>
    </row>
    <row r="22" spans="1:24" ht="15">
      <c r="A22" s="4"/>
      <c r="B22" s="4"/>
      <c r="C22" s="4"/>
      <c r="D22"/>
      <c r="I22" s="5"/>
      <c r="J22" s="13"/>
      <c r="K22" s="13"/>
      <c r="L22" s="13"/>
      <c r="M22" s="13"/>
      <c r="N22" s="13"/>
      <c r="O22" s="13"/>
      <c r="P22" s="13"/>
      <c r="Q22" s="14"/>
      <c r="R22" s="5"/>
      <c r="S22" s="5"/>
      <c r="T22" s="5"/>
      <c r="U22" s="22"/>
      <c r="V22" s="23"/>
      <c r="W22" s="5"/>
      <c r="X22" s="5"/>
    </row>
    <row r="23" spans="1:24" ht="15">
      <c r="A23" s="4"/>
      <c r="B23" s="4"/>
      <c r="C23" s="4"/>
      <c r="D23"/>
      <c r="I23" s="5"/>
      <c r="J23" s="15"/>
      <c r="K23" s="15"/>
      <c r="L23" s="15"/>
      <c r="M23" s="15"/>
      <c r="N23" s="15"/>
      <c r="O23" s="15"/>
      <c r="P23" s="15"/>
      <c r="Q23" s="16"/>
      <c r="R23" s="5"/>
      <c r="S23" s="5"/>
      <c r="T23" s="5"/>
      <c r="U23" s="5"/>
      <c r="V23" s="24"/>
      <c r="W23" s="5"/>
      <c r="X23" s="5"/>
    </row>
    <row r="24" spans="1:24" ht="16" thickBot="1">
      <c r="A24" s="4"/>
      <c r="B24" s="4"/>
      <c r="C24" s="4"/>
      <c r="D24" s="4"/>
      <c r="E24" s="5"/>
      <c r="F24" s="5"/>
      <c r="I24" s="17"/>
      <c r="J24" s="17"/>
      <c r="K24" s="17"/>
      <c r="L24" s="17"/>
      <c r="M24" s="18" t="s">
        <v>9</v>
      </c>
      <c r="N24" s="19">
        <f>1.25*N19</f>
        <v>116.55174953749258</v>
      </c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">
      <c r="A25" s="4"/>
      <c r="B25" s="4"/>
      <c r="C25" s="4"/>
      <c r="D25" s="4"/>
      <c r="E25" s="5"/>
      <c r="F25" s="5"/>
      <c r="G25" s="2"/>
      <c r="H25" s="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">
      <c r="A26" s="4"/>
      <c r="B26" s="4"/>
      <c r="C26" s="4"/>
      <c r="D26" s="4"/>
      <c r="E26" s="5"/>
      <c r="F26" s="5"/>
      <c r="G26" s="2"/>
      <c r="H26" s="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">
      <c r="A27" s="4"/>
      <c r="B27" s="4"/>
      <c r="C27" s="4"/>
      <c r="D27" s="4"/>
      <c r="E27" s="5"/>
      <c r="F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">
      <c r="A28" s="4"/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">
      <c r="A30" s="4"/>
      <c r="B30" s="4"/>
      <c r="C30" s="4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5"/>
      <c r="Q30" s="5"/>
      <c r="R30" s="5"/>
      <c r="S30" s="5"/>
      <c r="T30" s="5"/>
      <c r="U30" s="5"/>
      <c r="V30" s="5"/>
      <c r="W30" s="5"/>
      <c r="X30" s="5"/>
    </row>
    <row r="31" spans="1:24" ht="15">
      <c r="A31" s="4"/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</sheetData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1"/>
  <sheetViews>
    <sheetView workbookViewId="0">
      <selection activeCell="F3" sqref="F3"/>
    </sheetView>
  </sheetViews>
  <sheetFormatPr baseColWidth="10" defaultColWidth="8.83203125" defaultRowHeight="12" x14ac:dyDescent="0"/>
  <cols>
    <col min="1" max="1" width="8" style="1" customWidth="1"/>
    <col min="2" max="2" width="9.6640625" style="1" bestFit="1" customWidth="1"/>
    <col min="3" max="4" width="8" style="1" customWidth="1"/>
    <col min="5" max="6" width="9.5" bestFit="1" customWidth="1"/>
    <col min="7" max="7" width="13.5" customWidth="1"/>
    <col min="8" max="8" width="9.5" customWidth="1"/>
    <col min="9" max="9" width="3.83203125" customWidth="1"/>
    <col min="10" max="12" width="8.5" customWidth="1"/>
    <col min="13" max="13" width="12.5" customWidth="1"/>
    <col min="14" max="14" width="8.5" customWidth="1"/>
    <col min="15" max="15" width="9.83203125" bestFit="1" customWidth="1"/>
    <col min="16" max="17" width="8.5" customWidth="1"/>
    <col min="18" max="18" width="4.5" customWidth="1"/>
    <col min="19" max="19" width="33.33203125" bestFit="1" customWidth="1"/>
    <col min="20" max="20" width="16.1640625" bestFit="1" customWidth="1"/>
    <col min="21" max="21" width="17.5" customWidth="1"/>
    <col min="22" max="22" width="16.1640625" bestFit="1" customWidth="1"/>
    <col min="23" max="23" width="16.33203125" bestFit="1" customWidth="1"/>
    <col min="24" max="24" width="16.83203125" bestFit="1" customWidth="1"/>
  </cols>
  <sheetData>
    <row r="1" spans="1:24" ht="15">
      <c r="A1" s="3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6" t="s">
        <v>109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">
      <c r="A3" s="6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>
      <c r="A4" s="6"/>
      <c r="B4" s="4"/>
      <c r="C4" s="6" t="s">
        <v>14</v>
      </c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30">
      <c r="A6" s="7"/>
      <c r="B6" s="7"/>
      <c r="C6" s="7" t="s">
        <v>0</v>
      </c>
      <c r="D6" s="7" t="s">
        <v>10</v>
      </c>
      <c r="E6" s="8" t="s">
        <v>1</v>
      </c>
      <c r="F6" s="8" t="s">
        <v>13</v>
      </c>
      <c r="G6" s="8" t="s">
        <v>2</v>
      </c>
      <c r="H6" s="8"/>
      <c r="I6" s="5"/>
      <c r="J6" s="9" t="s">
        <v>11</v>
      </c>
      <c r="K6" s="9" t="s">
        <v>12</v>
      </c>
      <c r="L6" s="9" t="s">
        <v>3</v>
      </c>
      <c r="M6" s="9" t="s">
        <v>4</v>
      </c>
      <c r="N6" s="9" t="s">
        <v>5</v>
      </c>
      <c r="O6" s="9" t="s">
        <v>6</v>
      </c>
      <c r="P6" s="9" t="s">
        <v>7</v>
      </c>
      <c r="Q6" s="9" t="s">
        <v>8</v>
      </c>
      <c r="R6" s="5"/>
      <c r="S6" s="5"/>
      <c r="T6" s="5"/>
      <c r="U6" s="20"/>
      <c r="V6" s="20"/>
      <c r="W6" s="5"/>
      <c r="X6" s="5"/>
    </row>
    <row r="7" spans="1:24" ht="15">
      <c r="A7" s="4"/>
      <c r="B7" s="4"/>
      <c r="C7" s="4">
        <v>0</v>
      </c>
      <c r="D7" s="35"/>
      <c r="E7" s="35">
        <v>4369</v>
      </c>
      <c r="F7" s="4">
        <v>218</v>
      </c>
      <c r="G7" s="5"/>
      <c r="H7" s="5"/>
      <c r="I7" s="5"/>
      <c r="J7" s="10"/>
      <c r="K7" s="10"/>
      <c r="L7" s="10"/>
      <c r="M7" s="10"/>
      <c r="N7" s="10"/>
      <c r="O7" s="10"/>
      <c r="P7" s="10"/>
      <c r="Q7" s="21"/>
      <c r="R7" s="5"/>
      <c r="S7" s="5"/>
      <c r="T7" s="5"/>
      <c r="U7" s="22"/>
      <c r="V7" s="23"/>
      <c r="W7" s="5"/>
      <c r="X7" s="5"/>
    </row>
    <row r="8" spans="1:24" ht="15">
      <c r="A8" s="4">
        <v>2011</v>
      </c>
      <c r="B8" s="26" t="s">
        <v>15</v>
      </c>
      <c r="C8" s="4">
        <v>1</v>
      </c>
      <c r="D8" s="36">
        <v>4610</v>
      </c>
      <c r="E8" s="35">
        <f t="shared" ref="E8:E19" si="0">0.05*D8+(1-0.05)*(E7+F7)</f>
        <v>4588.1499999999996</v>
      </c>
      <c r="F8" s="12">
        <f>0.1*(E8-E7)+(1-0.1)*F7</f>
        <v>218.11499999999998</v>
      </c>
      <c r="G8" s="35">
        <f t="shared" ref="G8:G20" si="1">E7+F7</f>
        <v>4587</v>
      </c>
      <c r="H8" s="11"/>
      <c r="I8" s="5"/>
      <c r="J8" s="13">
        <f t="shared" ref="J8:J19" si="2">G8-D8</f>
        <v>-23</v>
      </c>
      <c r="K8" s="13">
        <f t="shared" ref="K8:K19" si="3">ABS(J8)</f>
        <v>23</v>
      </c>
      <c r="L8" s="13">
        <f>SUM($J$8:J8)</f>
        <v>-23</v>
      </c>
      <c r="M8" s="13">
        <f>SUMSQ($J$8:J8)/C8</f>
        <v>529</v>
      </c>
      <c r="N8" s="13">
        <f>SUM($K$8:K8)/C8</f>
        <v>23</v>
      </c>
      <c r="O8" s="13">
        <f t="shared" ref="O8:O19" si="4">K8/D8*100</f>
        <v>0.49891540130151846</v>
      </c>
      <c r="P8" s="13">
        <f>AVERAGE($O$8:O8)</f>
        <v>0.49891540130151846</v>
      </c>
      <c r="Q8" s="14">
        <f>SUM($J$8:J8)/N8</f>
        <v>-1</v>
      </c>
      <c r="R8" s="5"/>
      <c r="S8" s="5"/>
      <c r="T8" s="5"/>
      <c r="U8" s="22"/>
      <c r="V8" s="23"/>
      <c r="W8" s="5"/>
      <c r="X8" s="5"/>
    </row>
    <row r="9" spans="1:24" ht="15">
      <c r="A9" s="4"/>
      <c r="B9" s="4" t="s">
        <v>16</v>
      </c>
      <c r="C9" s="4">
        <v>2</v>
      </c>
      <c r="D9" s="36">
        <v>4813</v>
      </c>
      <c r="E9" s="35">
        <f t="shared" si="0"/>
        <v>4806.6017499999989</v>
      </c>
      <c r="F9" s="12">
        <f t="shared" ref="F9:F19" si="5">0.1*(E9-E8)+(1-0.1)*F8</f>
        <v>218.14867499999991</v>
      </c>
      <c r="G9" s="35">
        <f t="shared" si="1"/>
        <v>4806.2649999999994</v>
      </c>
      <c r="H9" s="11"/>
      <c r="I9" s="5"/>
      <c r="J9" s="13">
        <f t="shared" si="2"/>
        <v>-6.7350000000005821</v>
      </c>
      <c r="K9" s="13">
        <f t="shared" si="3"/>
        <v>6.7350000000005821</v>
      </c>
      <c r="L9" s="13">
        <f>SUM($J$8:J9)</f>
        <v>-29.735000000000582</v>
      </c>
      <c r="M9" s="13">
        <f>SUMSQ($J$8:J9)/C9</f>
        <v>287.18011250000393</v>
      </c>
      <c r="N9" s="13">
        <f>SUM($K$8:K9)/C9</f>
        <v>14.867500000000291</v>
      </c>
      <c r="O9" s="13">
        <f t="shared" si="4"/>
        <v>0.13993351340121715</v>
      </c>
      <c r="P9" s="13">
        <f>AVERAGE($O$8:O9)</f>
        <v>0.31942445735136782</v>
      </c>
      <c r="Q9" s="14">
        <f>SUM($J$8:J9)/N9</f>
        <v>-2</v>
      </c>
      <c r="R9" s="5"/>
      <c r="S9" s="5"/>
      <c r="T9" s="5"/>
      <c r="U9" s="22"/>
      <c r="V9" s="23"/>
      <c r="W9" s="5"/>
      <c r="X9" s="5"/>
    </row>
    <row r="10" spans="1:24" ht="15">
      <c r="A10" s="4"/>
      <c r="B10" s="4" t="s">
        <v>17</v>
      </c>
      <c r="C10" s="4">
        <v>3</v>
      </c>
      <c r="D10" s="36">
        <v>5071</v>
      </c>
      <c r="E10" s="35">
        <f t="shared" si="0"/>
        <v>5027.0629037499984</v>
      </c>
      <c r="F10" s="12">
        <f t="shared" si="5"/>
        <v>218.37992287499986</v>
      </c>
      <c r="G10" s="35">
        <f t="shared" si="1"/>
        <v>5024.7504249999984</v>
      </c>
      <c r="H10" s="11"/>
      <c r="I10" s="5"/>
      <c r="J10" s="13">
        <f t="shared" si="2"/>
        <v>-46.249575000001641</v>
      </c>
      <c r="K10" s="13">
        <f t="shared" si="3"/>
        <v>46.249575000001641</v>
      </c>
      <c r="L10" s="13">
        <f>SUM($J$8:J10)</f>
        <v>-75.984575000002224</v>
      </c>
      <c r="M10" s="13">
        <f>SUMSQ($J$8:J10)/C10</f>
        <v>904.4611375602617</v>
      </c>
      <c r="N10" s="13">
        <f>SUM($K$8:K10)/C10</f>
        <v>25.328191666667408</v>
      </c>
      <c r="O10" s="13">
        <f t="shared" si="4"/>
        <v>0.91204052455140294</v>
      </c>
      <c r="P10" s="13">
        <f>AVERAGE($O$8:O10)</f>
        <v>0.51696314641804619</v>
      </c>
      <c r="Q10" s="14">
        <f>SUM($J$8:J10)/N10</f>
        <v>-3</v>
      </c>
      <c r="R10" s="5"/>
      <c r="S10" s="5"/>
      <c r="T10" s="5"/>
      <c r="U10" s="22"/>
      <c r="V10" s="23"/>
      <c r="W10" s="5"/>
      <c r="X10" s="5"/>
    </row>
    <row r="11" spans="1:24" ht="15">
      <c r="A11" s="4"/>
      <c r="B11" s="4" t="s">
        <v>18</v>
      </c>
      <c r="C11" s="4">
        <v>4</v>
      </c>
      <c r="D11" s="36">
        <v>5245</v>
      </c>
      <c r="E11" s="35">
        <f t="shared" si="0"/>
        <v>5245.4206852937477</v>
      </c>
      <c r="F11" s="12">
        <f t="shared" si="5"/>
        <v>218.37770874187481</v>
      </c>
      <c r="G11" s="35">
        <f t="shared" si="1"/>
        <v>5245.4428266249979</v>
      </c>
      <c r="H11" s="11"/>
      <c r="I11" s="5"/>
      <c r="J11" s="13">
        <f t="shared" si="2"/>
        <v>0.44282662499790604</v>
      </c>
      <c r="K11" s="13">
        <f t="shared" si="3"/>
        <v>0.44282662499790604</v>
      </c>
      <c r="L11" s="13">
        <f>SUM($J$8:J11)</f>
        <v>-75.541748375004317</v>
      </c>
      <c r="M11" s="13">
        <f>SUMSQ($J$8:J11)/C11</f>
        <v>678.39487702514805</v>
      </c>
      <c r="N11" s="13">
        <f>SUM($K$8:K11)/C11</f>
        <v>19.106850406250032</v>
      </c>
      <c r="O11" s="13">
        <f t="shared" si="4"/>
        <v>8.4428336510563601E-3</v>
      </c>
      <c r="P11" s="13">
        <f>AVERAGE($O$8:O11)</f>
        <v>0.38983306822629876</v>
      </c>
      <c r="Q11" s="14">
        <f>SUM($J$8:J11)/N11</f>
        <v>-3.9536473447394496</v>
      </c>
      <c r="R11" s="5"/>
      <c r="S11" s="5"/>
      <c r="T11" s="5"/>
      <c r="U11" s="22"/>
      <c r="V11" s="23"/>
      <c r="W11" s="5"/>
      <c r="X11" s="5"/>
    </row>
    <row r="12" spans="1:24" ht="15">
      <c r="A12" s="4">
        <v>2012</v>
      </c>
      <c r="B12" s="4" t="s">
        <v>15</v>
      </c>
      <c r="C12" s="4">
        <v>5</v>
      </c>
      <c r="D12" s="36">
        <v>5458</v>
      </c>
      <c r="E12" s="35">
        <f t="shared" si="0"/>
        <v>5463.5084743338411</v>
      </c>
      <c r="F12" s="12">
        <f t="shared" si="5"/>
        <v>218.34871677169667</v>
      </c>
      <c r="G12" s="35">
        <f t="shared" si="1"/>
        <v>5463.7983940356226</v>
      </c>
      <c r="H12" s="11"/>
      <c r="I12" s="5"/>
      <c r="J12" s="13">
        <f t="shared" si="2"/>
        <v>5.7983940356225503</v>
      </c>
      <c r="K12" s="13">
        <f t="shared" si="3"/>
        <v>5.7983940356225503</v>
      </c>
      <c r="L12" s="13">
        <f>SUM($J$8:J12)</f>
        <v>-69.743354339381767</v>
      </c>
      <c r="M12" s="13">
        <f>SUMSQ($J$8:J12)/C12</f>
        <v>549.44017629858706</v>
      </c>
      <c r="N12" s="13">
        <f>SUM($K$8:K12)/C12</f>
        <v>16.445159132124537</v>
      </c>
      <c r="O12" s="13">
        <f t="shared" si="4"/>
        <v>0.10623660746835013</v>
      </c>
      <c r="P12" s="13">
        <f>AVERAGE($O$8:O12)</f>
        <v>0.33311377607470904</v>
      </c>
      <c r="Q12" s="14">
        <f>SUM($J$8:J12)/N12</f>
        <v>-4.240965610551175</v>
      </c>
      <c r="R12" s="5"/>
      <c r="S12" s="5"/>
      <c r="T12" s="5"/>
      <c r="U12" s="22"/>
      <c r="V12" s="23"/>
      <c r="W12" s="5"/>
      <c r="X12" s="5"/>
    </row>
    <row r="13" spans="1:24" ht="15">
      <c r="A13" s="4"/>
      <c r="B13" s="4" t="s">
        <v>16</v>
      </c>
      <c r="C13" s="4">
        <v>6</v>
      </c>
      <c r="D13" s="36">
        <v>5648</v>
      </c>
      <c r="E13" s="35">
        <f t="shared" si="0"/>
        <v>5680.1643315502606</v>
      </c>
      <c r="F13" s="12">
        <f t="shared" si="5"/>
        <v>218.17943081616895</v>
      </c>
      <c r="G13" s="35">
        <f t="shared" si="1"/>
        <v>5681.8571911055378</v>
      </c>
      <c r="H13" s="11"/>
      <c r="I13" s="5"/>
      <c r="J13" s="13">
        <f t="shared" si="2"/>
        <v>33.857191105537822</v>
      </c>
      <c r="K13" s="13">
        <f t="shared" si="3"/>
        <v>33.857191105537822</v>
      </c>
      <c r="L13" s="13">
        <f>SUM($J$8:J13)</f>
        <v>-35.886163233843945</v>
      </c>
      <c r="M13" s="13">
        <f>SUMSQ($J$8:J13)/C13</f>
        <v>648.91837850830746</v>
      </c>
      <c r="N13" s="13">
        <f>SUM($K$8:K13)/C13</f>
        <v>19.34716446102675</v>
      </c>
      <c r="O13" s="13">
        <f t="shared" si="4"/>
        <v>0.59945451674110872</v>
      </c>
      <c r="P13" s="13">
        <f>AVERAGE($O$8:O13)</f>
        <v>0.37750389951910895</v>
      </c>
      <c r="Q13" s="14">
        <f>SUM($J$8:J13)/N13</f>
        <v>-1.8548538885961108</v>
      </c>
      <c r="R13" s="5"/>
      <c r="S13" s="5"/>
      <c r="T13" s="5"/>
      <c r="U13" s="22"/>
      <c r="V13" s="23"/>
      <c r="W13" s="5"/>
      <c r="X13" s="5"/>
    </row>
    <row r="14" spans="1:24" ht="15">
      <c r="A14" s="4"/>
      <c r="B14" s="4" t="s">
        <v>17</v>
      </c>
      <c r="C14" s="4">
        <v>7</v>
      </c>
      <c r="D14" s="36">
        <v>5824</v>
      </c>
      <c r="E14" s="35">
        <f t="shared" si="0"/>
        <v>5894.6265742481073</v>
      </c>
      <c r="F14" s="12">
        <f t="shared" si="5"/>
        <v>217.80771200433671</v>
      </c>
      <c r="G14" s="35">
        <f t="shared" si="1"/>
        <v>5898.3437623664295</v>
      </c>
      <c r="H14" s="11"/>
      <c r="I14" s="5"/>
      <c r="J14" s="13">
        <f t="shared" si="2"/>
        <v>74.343762366429473</v>
      </c>
      <c r="K14" s="13">
        <f t="shared" si="3"/>
        <v>74.343762366429473</v>
      </c>
      <c r="L14" s="13">
        <f>SUM($J$8:J14)</f>
        <v>38.457599132585528</v>
      </c>
      <c r="M14" s="13">
        <f>SUMSQ($J$8:J14)/C14</f>
        <v>1345.7864676922829</v>
      </c>
      <c r="N14" s="13">
        <f>SUM($K$8:K14)/C14</f>
        <v>27.203821304655712</v>
      </c>
      <c r="O14" s="13">
        <f t="shared" si="4"/>
        <v>1.2765069087642422</v>
      </c>
      <c r="P14" s="13">
        <f>AVERAGE($O$8:O14)</f>
        <v>0.50593290083984233</v>
      </c>
      <c r="Q14" s="14">
        <f>SUM($J$8:J14)/N14</f>
        <v>1.4136837138392695</v>
      </c>
      <c r="R14" s="5"/>
      <c r="S14" s="5"/>
      <c r="T14" s="5"/>
      <c r="U14" s="22"/>
      <c r="V14" s="23"/>
      <c r="W14" s="5"/>
      <c r="X14" s="5"/>
    </row>
    <row r="15" spans="1:24" ht="15">
      <c r="A15" s="4"/>
      <c r="B15" s="4" t="s">
        <v>18</v>
      </c>
      <c r="C15" s="4">
        <v>8</v>
      </c>
      <c r="D15" s="36">
        <v>6050</v>
      </c>
      <c r="E15" s="35">
        <f t="shared" si="0"/>
        <v>6109.3125719398213</v>
      </c>
      <c r="F15" s="12">
        <f t="shared" si="5"/>
        <v>217.49554057307444</v>
      </c>
      <c r="G15" s="35">
        <f t="shared" si="1"/>
        <v>6112.4342862524436</v>
      </c>
      <c r="H15" s="11"/>
      <c r="I15" s="5"/>
      <c r="J15" s="13">
        <f t="shared" si="2"/>
        <v>62.434286252443599</v>
      </c>
      <c r="K15" s="13">
        <f t="shared" si="3"/>
        <v>62.434286252443599</v>
      </c>
      <c r="L15" s="13">
        <f>SUM($J$8:J15)</f>
        <v>100.89188538502913</v>
      </c>
      <c r="M15" s="13">
        <f>SUMSQ($J$8:J15)/C15</f>
        <v>1664.8181717122559</v>
      </c>
      <c r="N15" s="13">
        <f>SUM($K$8:K15)/C15</f>
        <v>31.607629423129197</v>
      </c>
      <c r="O15" s="13">
        <f t="shared" si="4"/>
        <v>1.0319716735941091</v>
      </c>
      <c r="P15" s="13">
        <f>AVERAGE($O$8:O15)</f>
        <v>0.57168774743412565</v>
      </c>
      <c r="Q15" s="14">
        <f>SUM($J$8:J15)/N15</f>
        <v>3.192010512221473</v>
      </c>
      <c r="R15" s="5"/>
      <c r="S15" s="5"/>
      <c r="T15" s="5"/>
      <c r="U15" s="22"/>
      <c r="V15" s="23"/>
      <c r="W15" s="5"/>
      <c r="X15" s="5"/>
    </row>
    <row r="16" spans="1:24" ht="15">
      <c r="A16" s="4">
        <v>2013</v>
      </c>
      <c r="B16" s="4" t="s">
        <v>15</v>
      </c>
      <c r="C16" s="4">
        <v>9</v>
      </c>
      <c r="D16" s="36">
        <v>6364</v>
      </c>
      <c r="E16" s="35">
        <f t="shared" si="0"/>
        <v>6328.6677068872505</v>
      </c>
      <c r="F16" s="12">
        <f t="shared" si="5"/>
        <v>217.68150001050992</v>
      </c>
      <c r="G16" s="35">
        <f t="shared" si="1"/>
        <v>6326.8081125128956</v>
      </c>
      <c r="H16" s="11"/>
      <c r="I16" s="5"/>
      <c r="J16" s="13">
        <f t="shared" si="2"/>
        <v>-37.191887487104395</v>
      </c>
      <c r="K16" s="13">
        <f t="shared" si="3"/>
        <v>37.191887487104395</v>
      </c>
      <c r="L16" s="13">
        <f>SUM($J$8:J16)</f>
        <v>63.699997897924732</v>
      </c>
      <c r="M16" s="13">
        <f>SUMSQ($J$8:J16)/C16</f>
        <v>1633.5313187279421</v>
      </c>
      <c r="N16" s="13">
        <f>SUM($K$8:K16)/C16</f>
        <v>32.228102541348662</v>
      </c>
      <c r="O16" s="13">
        <f t="shared" si="4"/>
        <v>0.58441055133727837</v>
      </c>
      <c r="P16" s="13">
        <f>AVERAGE($O$8:O16)</f>
        <v>0.57310139231225365</v>
      </c>
      <c r="Q16" s="14">
        <f>SUM($J$8:J16)/N16</f>
        <v>1.9765357832096264</v>
      </c>
      <c r="R16" s="5"/>
      <c r="S16" s="5"/>
      <c r="T16" s="5"/>
      <c r="U16" s="22"/>
      <c r="V16" s="23"/>
      <c r="W16" s="5"/>
      <c r="X16" s="5"/>
    </row>
    <row r="17" spans="1:24" ht="15">
      <c r="A17" s="4"/>
      <c r="B17" s="4" t="s">
        <v>16</v>
      </c>
      <c r="C17" s="4">
        <v>10</v>
      </c>
      <c r="D17" s="36">
        <v>6576</v>
      </c>
      <c r="E17" s="35">
        <f t="shared" si="0"/>
        <v>6547.8317465528726</v>
      </c>
      <c r="F17" s="12">
        <f t="shared" si="5"/>
        <v>217.82975397602115</v>
      </c>
      <c r="G17" s="35">
        <f t="shared" si="1"/>
        <v>6546.3492068977603</v>
      </c>
      <c r="H17" s="11"/>
      <c r="I17" s="5"/>
      <c r="J17" s="13">
        <f t="shared" si="2"/>
        <v>-29.650793102239732</v>
      </c>
      <c r="K17" s="13">
        <f t="shared" si="3"/>
        <v>29.650793102239732</v>
      </c>
      <c r="L17" s="13">
        <f>SUM($J$8:J17)</f>
        <v>34.049204795685</v>
      </c>
      <c r="M17" s="13">
        <f>SUMSQ($J$8:J17)/C17</f>
        <v>1558.0951400143308</v>
      </c>
      <c r="N17" s="13">
        <f>SUM($K$8:K17)/C17</f>
        <v>31.970371597437769</v>
      </c>
      <c r="O17" s="13">
        <f t="shared" si="4"/>
        <v>0.4508940556909935</v>
      </c>
      <c r="P17" s="13">
        <f>AVERAGE($O$8:O17)</f>
        <v>0.56088065865012771</v>
      </c>
      <c r="Q17" s="14">
        <f>SUM($J$8:J17)/N17</f>
        <v>1.0650237421204649</v>
      </c>
      <c r="R17" s="5"/>
      <c r="S17" s="5"/>
      <c r="T17" s="5"/>
      <c r="U17" s="22"/>
      <c r="V17" s="23"/>
      <c r="W17" s="5"/>
      <c r="X17" s="5"/>
    </row>
    <row r="18" spans="1:24" ht="15">
      <c r="A18" s="4"/>
      <c r="B18" s="4" t="s">
        <v>17</v>
      </c>
      <c r="C18" s="4">
        <v>11</v>
      </c>
      <c r="D18" s="36">
        <v>6787</v>
      </c>
      <c r="E18" s="35">
        <f t="shared" si="0"/>
        <v>6766.7284255024497</v>
      </c>
      <c r="F18" s="12">
        <f t="shared" si="5"/>
        <v>217.93644647337675</v>
      </c>
      <c r="G18" s="35">
        <f t="shared" si="1"/>
        <v>6765.6615005288941</v>
      </c>
      <c r="H18" s="11"/>
      <c r="I18" s="5"/>
      <c r="J18" s="13">
        <f t="shared" si="2"/>
        <v>-21.338499471105933</v>
      </c>
      <c r="K18" s="13">
        <f t="shared" si="3"/>
        <v>21.338499471105933</v>
      </c>
      <c r="L18" s="13">
        <f>SUM($J$8:J18)</f>
        <v>12.710705324579067</v>
      </c>
      <c r="M18" s="13">
        <f>SUMSQ($J$8:J18)/C18</f>
        <v>1457.8439054383359</v>
      </c>
      <c r="N18" s="13">
        <f>SUM($K$8:K18)/C18</f>
        <v>31.003837767771241</v>
      </c>
      <c r="O18" s="13">
        <f t="shared" si="4"/>
        <v>0.31440252646391537</v>
      </c>
      <c r="P18" s="13">
        <f>AVERAGE($O$8:O18)</f>
        <v>0.53847355572410838</v>
      </c>
      <c r="Q18" s="14">
        <f>SUM($J$8:J18)/N18</f>
        <v>0.4099719982986092</v>
      </c>
      <c r="R18" s="5"/>
      <c r="S18" s="5"/>
      <c r="T18" s="5"/>
      <c r="U18" s="22"/>
      <c r="V18" s="23"/>
      <c r="W18" s="5"/>
      <c r="X18" s="5"/>
    </row>
    <row r="19" spans="1:24" ht="15">
      <c r="A19" s="4"/>
      <c r="B19" s="4" t="s">
        <v>18</v>
      </c>
      <c r="C19" s="4">
        <v>12</v>
      </c>
      <c r="D19" s="36">
        <v>7034</v>
      </c>
      <c r="E19" s="35">
        <f t="shared" si="0"/>
        <v>6987.1316283770348</v>
      </c>
      <c r="F19" s="12">
        <f t="shared" si="5"/>
        <v>218.1831221134976</v>
      </c>
      <c r="G19" s="35">
        <f t="shared" si="1"/>
        <v>6984.6648719758268</v>
      </c>
      <c r="H19" s="11"/>
      <c r="I19" s="5"/>
      <c r="J19" s="13">
        <f t="shared" si="2"/>
        <v>-49.335128024173173</v>
      </c>
      <c r="K19" s="13">
        <f t="shared" si="3"/>
        <v>49.335128024173173</v>
      </c>
      <c r="L19" s="13">
        <f>SUM($J$8:J19)</f>
        <v>-36.624422699594106</v>
      </c>
      <c r="M19" s="25">
        <f>SUMSQ($J$8:J19)/C19</f>
        <v>1539.1864847486042</v>
      </c>
      <c r="N19" s="25">
        <f>SUM($K$8:K19)/C19</f>
        <v>32.53144528913807</v>
      </c>
      <c r="O19" s="13">
        <f t="shared" si="4"/>
        <v>0.7013808362833831</v>
      </c>
      <c r="P19" s="25">
        <f>AVERAGE($O$8:O19)</f>
        <v>0.55204916243738134</v>
      </c>
      <c r="Q19" s="14">
        <f>SUM($J$8:J19)/N19</f>
        <v>-1.1258160335047469</v>
      </c>
      <c r="R19" s="5"/>
      <c r="S19" s="5"/>
      <c r="T19" s="5"/>
      <c r="U19" s="22"/>
      <c r="V19" s="23"/>
      <c r="W19" s="5"/>
      <c r="X19" s="5"/>
    </row>
    <row r="20" spans="1:24" ht="15">
      <c r="A20" s="4">
        <v>2014</v>
      </c>
      <c r="B20" s="4" t="s">
        <v>15</v>
      </c>
      <c r="C20" s="4">
        <v>13</v>
      </c>
      <c r="D20"/>
      <c r="G20" s="37">
        <f t="shared" si="1"/>
        <v>7205.3147504905328</v>
      </c>
      <c r="H20" s="11"/>
      <c r="I20" s="5"/>
      <c r="J20" s="13"/>
      <c r="K20" s="13"/>
      <c r="L20" s="13"/>
      <c r="M20" s="13"/>
      <c r="N20" s="13"/>
      <c r="O20" s="13"/>
      <c r="P20" s="13"/>
      <c r="Q20" s="14"/>
      <c r="R20" s="5"/>
      <c r="S20" s="5"/>
      <c r="T20" s="5"/>
      <c r="U20" s="22"/>
      <c r="V20" s="23"/>
      <c r="W20" s="5"/>
      <c r="X20" s="5"/>
    </row>
    <row r="21" spans="1:24" ht="15">
      <c r="A21" s="4"/>
      <c r="B21" s="4" t="s">
        <v>16</v>
      </c>
      <c r="C21" s="4">
        <v>14</v>
      </c>
      <c r="D21"/>
      <c r="G21" s="37">
        <f>E19+F19*(C21-C19)</f>
        <v>7423.4978726040299</v>
      </c>
      <c r="H21" s="11"/>
      <c r="I21" s="5"/>
      <c r="J21" s="13"/>
      <c r="K21" s="13"/>
      <c r="L21" s="13"/>
      <c r="M21" s="13"/>
      <c r="N21" s="13"/>
      <c r="O21" s="13"/>
      <c r="P21" s="13"/>
      <c r="Q21" s="14"/>
      <c r="R21" s="5"/>
      <c r="S21" s="5"/>
      <c r="T21" s="5"/>
      <c r="U21" s="22"/>
      <c r="V21" s="23"/>
      <c r="W21" s="5"/>
      <c r="X21" s="5"/>
    </row>
    <row r="22" spans="1:24" ht="15">
      <c r="A22" s="4"/>
      <c r="B22" s="4"/>
      <c r="C22" s="4"/>
      <c r="D22"/>
      <c r="G22" s="4"/>
      <c r="I22" s="5"/>
      <c r="J22" s="13"/>
      <c r="K22" s="13"/>
      <c r="L22" s="13"/>
      <c r="M22" s="13"/>
      <c r="N22" s="13"/>
      <c r="O22" s="13"/>
      <c r="P22" s="13"/>
      <c r="Q22" s="14"/>
      <c r="R22" s="5"/>
      <c r="S22" s="5"/>
      <c r="T22" s="5"/>
      <c r="U22" s="22"/>
      <c r="V22" s="23"/>
      <c r="W22" s="5"/>
      <c r="X22" s="5"/>
    </row>
    <row r="23" spans="1:24" ht="15">
      <c r="A23" s="4"/>
      <c r="B23" s="4"/>
      <c r="C23" s="4"/>
      <c r="D23"/>
      <c r="G23" s="4"/>
      <c r="I23" s="5"/>
      <c r="J23" s="15"/>
      <c r="K23" s="15"/>
      <c r="L23" s="15"/>
      <c r="M23" s="15"/>
      <c r="N23" s="15"/>
      <c r="O23" s="15"/>
      <c r="P23" s="15"/>
      <c r="Q23" s="16"/>
      <c r="R23" s="5"/>
      <c r="S23" s="5"/>
      <c r="T23" s="5"/>
      <c r="U23" s="5"/>
      <c r="V23" s="24"/>
      <c r="W23" s="5"/>
      <c r="X23" s="5"/>
    </row>
    <row r="24" spans="1:24" ht="16" thickBot="1">
      <c r="A24" s="4"/>
      <c r="B24" s="4"/>
      <c r="C24" s="4"/>
      <c r="D24" s="4"/>
      <c r="E24" s="5"/>
      <c r="F24" s="5"/>
      <c r="I24" s="17"/>
      <c r="J24" s="17"/>
      <c r="K24" s="17"/>
      <c r="L24" s="17"/>
      <c r="M24" s="18" t="s">
        <v>9</v>
      </c>
      <c r="N24" s="19">
        <f>1.25*N19</f>
        <v>40.664306611422589</v>
      </c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">
      <c r="A25" s="4"/>
      <c r="B25" s="4"/>
      <c r="C25" s="4"/>
      <c r="D25" s="4"/>
      <c r="E25" s="5"/>
      <c r="F25" s="5"/>
      <c r="G25" s="2"/>
      <c r="H25" s="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">
      <c r="A26" s="4"/>
      <c r="B26" s="4"/>
      <c r="C26" s="4"/>
      <c r="D26" s="4"/>
      <c r="E26" s="5"/>
      <c r="F26" s="5"/>
      <c r="G26" s="2"/>
      <c r="H26" s="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">
      <c r="A27" s="4"/>
      <c r="B27" s="4"/>
      <c r="C27" s="4"/>
      <c r="D27" s="4"/>
      <c r="E27" s="5"/>
      <c r="F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">
      <c r="A28" s="4"/>
      <c r="B28" s="4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">
      <c r="A29" s="4"/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">
      <c r="A30" s="4"/>
      <c r="B30" s="4"/>
      <c r="C30" s="4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5"/>
      <c r="Q30" s="5"/>
      <c r="R30" s="5"/>
      <c r="S30" s="5"/>
      <c r="T30" s="5"/>
      <c r="U30" s="5"/>
      <c r="V30" s="5"/>
      <c r="W30" s="5"/>
      <c r="X30" s="5"/>
    </row>
    <row r="31" spans="1:24" ht="15">
      <c r="A31" s="4"/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</sheetData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8"/>
  <sheetViews>
    <sheetView tabSelected="1" topLeftCell="A181" workbookViewId="0">
      <selection activeCell="N166" sqref="N166"/>
    </sheetView>
  </sheetViews>
  <sheetFormatPr baseColWidth="10" defaultColWidth="12.5" defaultRowHeight="14.25" customHeight="1" x14ac:dyDescent="0"/>
  <cols>
    <col min="1" max="1" width="12.5" style="38"/>
    <col min="2" max="2" width="15.6640625" style="38" customWidth="1"/>
    <col min="3" max="4" width="14.33203125" style="38" bestFit="1" customWidth="1"/>
    <col min="5" max="5" width="14" style="38" bestFit="1" customWidth="1"/>
    <col min="6" max="9" width="12.5" style="38"/>
    <col min="10" max="10" width="13.6640625" style="38" bestFit="1" customWidth="1"/>
    <col min="11" max="11" width="14.1640625" style="38" customWidth="1"/>
    <col min="12" max="12" width="14.5" style="38" bestFit="1" customWidth="1"/>
    <col min="13" max="13" width="13.6640625" style="38" bestFit="1" customWidth="1"/>
    <col min="14" max="16384" width="12.5" style="38"/>
  </cols>
  <sheetData>
    <row r="2" spans="1:13" ht="14.25" customHeight="1">
      <c r="B2" s="31" t="s">
        <v>42</v>
      </c>
    </row>
    <row r="3" spans="1:13" ht="15">
      <c r="B3" s="39" t="s">
        <v>62</v>
      </c>
      <c r="G3" s="39" t="s">
        <v>61</v>
      </c>
    </row>
    <row r="4" spans="1:13" ht="14.25" customHeight="1">
      <c r="A4" s="40"/>
      <c r="B4" s="39" t="s">
        <v>133</v>
      </c>
      <c r="C4" s="39"/>
      <c r="D4" s="39"/>
      <c r="G4" s="39" t="s">
        <v>44</v>
      </c>
    </row>
    <row r="5" spans="1:13" ht="14.25" customHeight="1">
      <c r="B5" s="39" t="s">
        <v>63</v>
      </c>
      <c r="G5" s="39" t="s">
        <v>45</v>
      </c>
    </row>
    <row r="6" spans="1:13" ht="14.25" customHeight="1">
      <c r="B6" s="39" t="s">
        <v>80</v>
      </c>
      <c r="G6" s="39" t="s">
        <v>46</v>
      </c>
    </row>
    <row r="7" spans="1:13" ht="14.25" customHeight="1">
      <c r="B7" s="39" t="s">
        <v>93</v>
      </c>
    </row>
    <row r="8" spans="1:13" ht="14.25" customHeight="1">
      <c r="B8" s="39"/>
    </row>
    <row r="9" spans="1:13" ht="14.25" customHeight="1">
      <c r="B9" s="41" t="s">
        <v>50</v>
      </c>
      <c r="I9" s="41" t="s">
        <v>51</v>
      </c>
    </row>
    <row r="10" spans="1:13" ht="14.25" customHeight="1">
      <c r="B10" s="42" t="s">
        <v>64</v>
      </c>
      <c r="C10" s="43" t="s">
        <v>47</v>
      </c>
      <c r="D10" s="44"/>
      <c r="E10" s="44"/>
      <c r="F10" s="45"/>
      <c r="I10" s="42" t="s">
        <v>65</v>
      </c>
      <c r="J10" s="43" t="s">
        <v>47</v>
      </c>
      <c r="K10" s="44"/>
      <c r="L10" s="44"/>
      <c r="M10" s="45"/>
    </row>
    <row r="11" spans="1:13" ht="14.25" customHeight="1">
      <c r="B11" s="46" t="s">
        <v>48</v>
      </c>
      <c r="C11" s="47" t="s">
        <v>31</v>
      </c>
      <c r="D11" s="47" t="s">
        <v>34</v>
      </c>
      <c r="E11" s="47" t="s">
        <v>37</v>
      </c>
      <c r="F11" s="47" t="s">
        <v>131</v>
      </c>
      <c r="I11" s="46" t="s">
        <v>48</v>
      </c>
      <c r="J11" s="47" t="s">
        <v>31</v>
      </c>
      <c r="K11" s="47" t="s">
        <v>34</v>
      </c>
      <c r="L11" s="47" t="s">
        <v>37</v>
      </c>
      <c r="M11" s="47" t="s">
        <v>131</v>
      </c>
    </row>
    <row r="12" spans="1:13" ht="14.25" customHeight="1">
      <c r="B12" s="46" t="s">
        <v>30</v>
      </c>
      <c r="C12" s="48">
        <v>2499.9999999999277</v>
      </c>
      <c r="D12" s="48">
        <v>0</v>
      </c>
      <c r="E12" s="48">
        <v>0</v>
      </c>
      <c r="F12" s="49">
        <v>0</v>
      </c>
      <c r="I12" s="46" t="s">
        <v>30</v>
      </c>
      <c r="J12" s="48">
        <v>0</v>
      </c>
      <c r="K12" s="48">
        <v>0</v>
      </c>
      <c r="L12" s="48">
        <v>0</v>
      </c>
      <c r="M12" s="49">
        <v>0</v>
      </c>
    </row>
    <row r="13" spans="1:13" ht="14.25" customHeight="1">
      <c r="B13" s="46" t="s">
        <v>33</v>
      </c>
      <c r="C13" s="48">
        <v>0</v>
      </c>
      <c r="D13" s="48">
        <v>0</v>
      </c>
      <c r="E13" s="48">
        <v>0</v>
      </c>
      <c r="F13" s="49">
        <v>0</v>
      </c>
      <c r="I13" s="46" t="s">
        <v>33</v>
      </c>
      <c r="J13" s="48">
        <v>0</v>
      </c>
      <c r="K13" s="48">
        <v>2.2737367544323206E-13</v>
      </c>
      <c r="L13" s="48">
        <v>0</v>
      </c>
      <c r="M13" s="49">
        <v>0</v>
      </c>
    </row>
    <row r="14" spans="1:13" ht="14.25" customHeight="1">
      <c r="B14" s="50" t="s">
        <v>36</v>
      </c>
      <c r="C14" s="51">
        <v>0</v>
      </c>
      <c r="D14" s="51">
        <v>2722.4807849495483</v>
      </c>
      <c r="E14" s="51">
        <v>1.8189894035458565E-12</v>
      </c>
      <c r="F14" s="52">
        <v>0</v>
      </c>
      <c r="I14" s="50" t="s">
        <v>36</v>
      </c>
      <c r="J14" s="51">
        <v>2471.8494170186673</v>
      </c>
      <c r="K14" s="51">
        <v>2411.5900734269389</v>
      </c>
      <c r="L14" s="51">
        <v>5366.5605095543942</v>
      </c>
      <c r="M14" s="52">
        <v>0</v>
      </c>
    </row>
    <row r="16" spans="1:13" ht="14.25" customHeight="1">
      <c r="B16" s="53" t="s">
        <v>50</v>
      </c>
      <c r="I16" s="53" t="s">
        <v>51</v>
      </c>
    </row>
    <row r="17" spans="2:16" ht="14.25" customHeight="1">
      <c r="B17" s="42" t="s">
        <v>66</v>
      </c>
      <c r="C17" s="43" t="s">
        <v>49</v>
      </c>
      <c r="D17" s="43"/>
      <c r="E17" s="43"/>
      <c r="F17" s="43"/>
      <c r="G17" s="54"/>
      <c r="I17" s="42" t="s">
        <v>67</v>
      </c>
      <c r="J17" s="43" t="s">
        <v>49</v>
      </c>
      <c r="K17" s="43"/>
      <c r="L17" s="43"/>
      <c r="M17" s="43"/>
      <c r="N17" s="54"/>
    </row>
    <row r="18" spans="2:16" ht="14.25" customHeight="1">
      <c r="B18" s="46" t="s">
        <v>47</v>
      </c>
      <c r="C18" s="47" t="s">
        <v>32</v>
      </c>
      <c r="D18" s="47" t="s">
        <v>35</v>
      </c>
      <c r="E18" s="47" t="s">
        <v>38</v>
      </c>
      <c r="F18" s="47" t="s">
        <v>40</v>
      </c>
      <c r="G18" s="55" t="s">
        <v>41</v>
      </c>
      <c r="I18" s="46" t="s">
        <v>47</v>
      </c>
      <c r="J18" s="47" t="s">
        <v>32</v>
      </c>
      <c r="K18" s="47" t="s">
        <v>35</v>
      </c>
      <c r="L18" s="47" t="s">
        <v>38</v>
      </c>
      <c r="M18" s="47" t="s">
        <v>40</v>
      </c>
      <c r="N18" s="55" t="s">
        <v>41</v>
      </c>
    </row>
    <row r="19" spans="2:16" ht="14.25" customHeight="1">
      <c r="B19" s="46" t="s">
        <v>31</v>
      </c>
      <c r="C19" s="56">
        <v>0</v>
      </c>
      <c r="D19" s="56">
        <v>1555.1724137930446</v>
      </c>
      <c r="E19" s="56">
        <v>0</v>
      </c>
      <c r="F19" s="56">
        <v>600.00000000000011</v>
      </c>
      <c r="G19" s="57">
        <v>0</v>
      </c>
      <c r="I19" s="46" t="s">
        <v>31</v>
      </c>
      <c r="J19" s="56">
        <v>0</v>
      </c>
      <c r="K19" s="56">
        <v>2009.6336723728996</v>
      </c>
      <c r="L19" s="56">
        <v>0</v>
      </c>
      <c r="M19" s="56">
        <v>0</v>
      </c>
      <c r="N19" s="57">
        <v>0</v>
      </c>
    </row>
    <row r="20" spans="2:16" ht="14.25" customHeight="1">
      <c r="B20" s="46" t="s">
        <v>34</v>
      </c>
      <c r="C20" s="56">
        <v>600</v>
      </c>
      <c r="D20" s="56">
        <v>0</v>
      </c>
      <c r="E20" s="56">
        <v>600</v>
      </c>
      <c r="F20" s="56">
        <v>0</v>
      </c>
      <c r="G20" s="57">
        <v>1146.9661939220241</v>
      </c>
      <c r="I20" s="46" t="s">
        <v>34</v>
      </c>
      <c r="J20" s="56">
        <v>1560.6423361194638</v>
      </c>
      <c r="K20" s="56">
        <v>0</v>
      </c>
      <c r="L20" s="56">
        <v>399.99999999999972</v>
      </c>
      <c r="M20" s="56">
        <v>0</v>
      </c>
      <c r="N20" s="57">
        <v>0</v>
      </c>
    </row>
    <row r="21" spans="2:16" ht="14.25" customHeight="1">
      <c r="B21" s="46" t="s">
        <v>37</v>
      </c>
      <c r="C21" s="56">
        <v>0</v>
      </c>
      <c r="D21" s="56">
        <v>0</v>
      </c>
      <c r="E21" s="56">
        <v>0</v>
      </c>
      <c r="F21" s="56">
        <v>0</v>
      </c>
      <c r="G21" s="57">
        <v>0</v>
      </c>
      <c r="I21" s="46" t="s">
        <v>37</v>
      </c>
      <c r="J21" s="56">
        <v>0</v>
      </c>
      <c r="K21" s="56">
        <v>0</v>
      </c>
      <c r="L21" s="56">
        <v>0</v>
      </c>
      <c r="M21" s="56">
        <v>1783.6987576185657</v>
      </c>
      <c r="N21" s="57">
        <v>2579.3585672224031</v>
      </c>
    </row>
    <row r="22" spans="2:16" ht="14.25" customHeight="1">
      <c r="B22" s="47" t="s">
        <v>131</v>
      </c>
      <c r="C22" s="58">
        <v>0</v>
      </c>
      <c r="D22" s="58">
        <v>0</v>
      </c>
      <c r="E22" s="58">
        <v>0</v>
      </c>
      <c r="F22" s="58">
        <v>0</v>
      </c>
      <c r="G22" s="59">
        <v>0</v>
      </c>
      <c r="I22" s="47" t="s">
        <v>131</v>
      </c>
      <c r="J22" s="58">
        <v>0</v>
      </c>
      <c r="K22" s="58">
        <v>0</v>
      </c>
      <c r="L22" s="58">
        <v>0</v>
      </c>
      <c r="M22" s="58">
        <v>0</v>
      </c>
      <c r="N22" s="59">
        <v>0</v>
      </c>
    </row>
    <row r="24" spans="2:16" ht="14.25" customHeight="1">
      <c r="B24" s="42" t="s">
        <v>47</v>
      </c>
      <c r="C24" s="60" t="s">
        <v>81</v>
      </c>
      <c r="D24" s="60" t="s">
        <v>82</v>
      </c>
      <c r="E24" s="60" t="s">
        <v>94</v>
      </c>
    </row>
    <row r="25" spans="2:16" ht="14.25" customHeight="1">
      <c r="B25" s="46" t="s">
        <v>31</v>
      </c>
      <c r="C25" s="61">
        <v>1</v>
      </c>
      <c r="D25" s="61">
        <v>1</v>
      </c>
      <c r="E25" s="61">
        <v>1</v>
      </c>
      <c r="G25" s="62" t="s">
        <v>48</v>
      </c>
      <c r="H25" s="63" t="s">
        <v>126</v>
      </c>
      <c r="I25" s="63" t="s">
        <v>127</v>
      </c>
    </row>
    <row r="26" spans="2:16" ht="14.25" customHeight="1">
      <c r="B26" s="46" t="s">
        <v>34</v>
      </c>
      <c r="C26" s="61">
        <v>1</v>
      </c>
      <c r="D26" s="61">
        <v>1</v>
      </c>
      <c r="E26" s="61">
        <v>1</v>
      </c>
      <c r="F26" s="64"/>
      <c r="G26" s="65" t="s">
        <v>30</v>
      </c>
      <c r="H26" s="66">
        <v>1</v>
      </c>
      <c r="I26" s="66">
        <v>0</v>
      </c>
    </row>
    <row r="27" spans="2:16" ht="14.25" customHeight="1">
      <c r="B27" s="46" t="s">
        <v>37</v>
      </c>
      <c r="C27" s="61">
        <v>0</v>
      </c>
      <c r="D27" s="61">
        <v>1</v>
      </c>
      <c r="E27" s="61">
        <v>1</v>
      </c>
      <c r="F27" s="64"/>
      <c r="G27" s="65" t="s">
        <v>33</v>
      </c>
      <c r="H27" s="66">
        <v>0</v>
      </c>
      <c r="I27" s="66">
        <v>0</v>
      </c>
    </row>
    <row r="28" spans="2:16" ht="14.25" customHeight="1">
      <c r="B28" s="47" t="s">
        <v>131</v>
      </c>
      <c r="C28" s="67">
        <v>0</v>
      </c>
      <c r="D28" s="67">
        <v>0</v>
      </c>
      <c r="E28" s="67">
        <v>0</v>
      </c>
      <c r="F28" s="64"/>
      <c r="G28" s="68" t="s">
        <v>36</v>
      </c>
      <c r="H28" s="69">
        <v>1</v>
      </c>
      <c r="I28" s="69">
        <v>1</v>
      </c>
      <c r="J28" s="64"/>
      <c r="K28" s="64"/>
      <c r="L28" s="64"/>
    </row>
    <row r="29" spans="2:16" ht="14.25" customHeight="1">
      <c r="G29" s="64"/>
      <c r="H29" s="64"/>
      <c r="I29" s="70"/>
      <c r="J29" s="71"/>
      <c r="K29" s="64"/>
      <c r="L29" s="64"/>
    </row>
    <row r="30" spans="2:16" ht="17">
      <c r="B30" s="32" t="s">
        <v>43</v>
      </c>
      <c r="G30" s="64"/>
      <c r="H30" s="64"/>
      <c r="I30" s="64"/>
      <c r="J30" s="64"/>
      <c r="K30" s="64"/>
      <c r="L30" s="64"/>
    </row>
    <row r="31" spans="2:16" ht="14.25" customHeight="1">
      <c r="G31" s="72"/>
      <c r="H31" s="73"/>
      <c r="I31" s="74"/>
      <c r="J31" s="64"/>
      <c r="K31" s="64"/>
      <c r="L31" s="64"/>
    </row>
    <row r="32" spans="2:16" ht="30" customHeight="1">
      <c r="B32" s="38" t="s">
        <v>52</v>
      </c>
      <c r="E32" s="34">
        <f>SUM(F36:F40)+SUM(G36:G40)-SUM(F45:F47)-SUM(G45:G47)-H54-I54-SUM(H61:H64)-SUM(I61:I64)-SUM(K61:K64)-SUM(L61:L64)-I71-J71-SUM(G78:G81)-SUM(I78:I81)-SUM(J78:J81)</f>
        <v>8241686.8765340168</v>
      </c>
      <c r="G32" s="64"/>
      <c r="H32" s="64"/>
      <c r="I32" s="75"/>
      <c r="J32" s="76"/>
      <c r="K32" s="77"/>
      <c r="L32" s="77"/>
      <c r="M32" s="77"/>
      <c r="N32" s="78"/>
      <c r="O32" s="78"/>
      <c r="P32" s="78"/>
    </row>
    <row r="33" spans="2:16" ht="15" customHeight="1">
      <c r="J33" s="79"/>
      <c r="K33" s="79"/>
      <c r="L33" s="80"/>
      <c r="M33" s="78"/>
      <c r="N33" s="78"/>
      <c r="O33" s="78"/>
      <c r="P33" s="78"/>
    </row>
    <row r="34" spans="2:16" ht="35.25" customHeight="1">
      <c r="B34" s="81" t="s">
        <v>19</v>
      </c>
      <c r="C34" s="82" t="s">
        <v>55</v>
      </c>
      <c r="D34" s="83"/>
      <c r="F34" s="27" t="s">
        <v>53</v>
      </c>
      <c r="G34" s="28"/>
      <c r="K34" s="77"/>
      <c r="L34" s="84"/>
      <c r="M34" s="85"/>
      <c r="N34" s="85"/>
      <c r="O34" s="78"/>
      <c r="P34" s="78"/>
    </row>
    <row r="35" spans="2:16" ht="14.25" customHeight="1">
      <c r="B35" s="81"/>
      <c r="C35" s="81" t="s">
        <v>20</v>
      </c>
      <c r="D35" s="81" t="s">
        <v>21</v>
      </c>
      <c r="F35" s="86" t="s">
        <v>22</v>
      </c>
      <c r="G35" s="87" t="s">
        <v>54</v>
      </c>
      <c r="K35" s="77"/>
      <c r="L35" s="77"/>
      <c r="M35" s="85"/>
      <c r="N35" s="85"/>
      <c r="O35" s="78"/>
      <c r="P35" s="78"/>
    </row>
    <row r="36" spans="2:16" ht="14.25" customHeight="1">
      <c r="B36" s="81" t="s">
        <v>23</v>
      </c>
      <c r="C36" s="88">
        <v>1165</v>
      </c>
      <c r="D36" s="88">
        <v>1548</v>
      </c>
      <c r="F36" s="89">
        <f>C36*SUM(C19:C22)</f>
        <v>699000</v>
      </c>
      <c r="G36" s="90">
        <f>D36*SUM(J19:J22)</f>
        <v>2415874.3363129301</v>
      </c>
      <c r="K36" s="77"/>
      <c r="L36" s="77"/>
      <c r="M36" s="85"/>
      <c r="N36" s="85"/>
      <c r="O36" s="78"/>
      <c r="P36" s="78"/>
    </row>
    <row r="37" spans="2:16" ht="14.25" customHeight="1">
      <c r="B37" s="81" t="s">
        <v>24</v>
      </c>
      <c r="C37" s="88">
        <v>1241</v>
      </c>
      <c r="D37" s="88">
        <v>1629</v>
      </c>
      <c r="F37" s="89">
        <f>C37*SUM(D19:D22)</f>
        <v>1929968.9655171684</v>
      </c>
      <c r="G37" s="90">
        <f>D37*SUM(K19:K22)</f>
        <v>3273693.2522954536</v>
      </c>
      <c r="K37" s="64"/>
      <c r="L37" s="64"/>
      <c r="M37" s="64"/>
      <c r="N37" s="64"/>
      <c r="O37" s="64"/>
      <c r="P37" s="64"/>
    </row>
    <row r="38" spans="2:16" ht="14.25" customHeight="1">
      <c r="B38" s="81" t="s">
        <v>25</v>
      </c>
      <c r="C38" s="88">
        <v>1160</v>
      </c>
      <c r="D38" s="88">
        <v>1625</v>
      </c>
      <c r="F38" s="89">
        <f>C38*SUM(E19:E22)</f>
        <v>696000</v>
      </c>
      <c r="G38" s="90">
        <f>D38*SUM(L19:L22)</f>
        <v>649999.99999999953</v>
      </c>
    </row>
    <row r="39" spans="2:16" ht="14.25" customHeight="1">
      <c r="B39" s="81" t="s">
        <v>26</v>
      </c>
      <c r="C39" s="88">
        <v>1218</v>
      </c>
      <c r="D39" s="88">
        <v>1646</v>
      </c>
      <c r="F39" s="89">
        <f>C39*SUM(F19:F22)</f>
        <v>730800.00000000012</v>
      </c>
      <c r="G39" s="90">
        <f>D39*SUM(M19:M22)</f>
        <v>2935968.1550401589</v>
      </c>
    </row>
    <row r="40" spans="2:16" ht="14.25" customHeight="1">
      <c r="B40" s="81" t="s">
        <v>27</v>
      </c>
      <c r="C40" s="88">
        <v>1245</v>
      </c>
      <c r="D40" s="88">
        <v>1637</v>
      </c>
      <c r="F40" s="91">
        <f>C40*SUM(G19:G22)</f>
        <v>1427972.91143292</v>
      </c>
      <c r="G40" s="92">
        <f>D40*SUM(N19:N22)</f>
        <v>4222409.9745430741</v>
      </c>
    </row>
    <row r="43" spans="2:16" ht="30" customHeight="1">
      <c r="B43" s="81" t="s">
        <v>60</v>
      </c>
      <c r="C43" s="82" t="s">
        <v>120</v>
      </c>
      <c r="D43" s="83"/>
      <c r="F43" s="29" t="s">
        <v>56</v>
      </c>
      <c r="G43" s="30"/>
    </row>
    <row r="44" spans="2:16" ht="14.25" customHeight="1">
      <c r="B44" s="81"/>
      <c r="C44" s="81" t="s">
        <v>22</v>
      </c>
      <c r="D44" s="81" t="s">
        <v>21</v>
      </c>
      <c r="F44" s="81" t="s">
        <v>22</v>
      </c>
      <c r="G44" s="81" t="s">
        <v>21</v>
      </c>
    </row>
    <row r="45" spans="2:16" ht="14.25" customHeight="1">
      <c r="B45" s="81" t="s">
        <v>57</v>
      </c>
      <c r="C45" s="88">
        <v>365</v>
      </c>
      <c r="D45" s="88">
        <v>457</v>
      </c>
      <c r="F45" s="111">
        <f>C45*SUM(C12:F12)</f>
        <v>912499.99999997357</v>
      </c>
      <c r="G45" s="112">
        <f>D45*SUM(J12:M12)</f>
        <v>0</v>
      </c>
    </row>
    <row r="46" spans="2:16" ht="14.25" customHeight="1">
      <c r="B46" s="81" t="s">
        <v>58</v>
      </c>
      <c r="C46" s="88">
        <v>352</v>
      </c>
      <c r="D46" s="88">
        <v>458</v>
      </c>
      <c r="F46" s="111">
        <f>C46*SUM(C13:F13)</f>
        <v>0</v>
      </c>
      <c r="G46" s="112">
        <f>D46*SUM(J13:M13)</f>
        <v>1.0413714335300028E-10</v>
      </c>
    </row>
    <row r="47" spans="2:16" ht="14.25" customHeight="1">
      <c r="B47" s="81" t="s">
        <v>59</v>
      </c>
      <c r="C47" s="88">
        <v>330</v>
      </c>
      <c r="D47" s="88">
        <v>422</v>
      </c>
      <c r="F47" s="113">
        <f>C47*SUM(C14:F14)</f>
        <v>898418.65903335158</v>
      </c>
      <c r="G47" s="114">
        <f>D47*SUM(J14:M14)</f>
        <v>4325500</v>
      </c>
    </row>
    <row r="50" spans="2:12" ht="14.25" customHeight="1">
      <c r="C50" s="81" t="s">
        <v>47</v>
      </c>
    </row>
    <row r="51" spans="2:12" ht="14.25" customHeight="1">
      <c r="B51" s="81" t="s">
        <v>68</v>
      </c>
      <c r="C51" s="81" t="s">
        <v>70</v>
      </c>
      <c r="D51" s="81" t="s">
        <v>71</v>
      </c>
      <c r="E51" s="81" t="s">
        <v>69</v>
      </c>
      <c r="F51" s="81" t="s">
        <v>39</v>
      </c>
    </row>
    <row r="52" spans="2:12" ht="14.25" customHeight="1">
      <c r="B52" s="81" t="s">
        <v>57</v>
      </c>
      <c r="C52" s="88">
        <v>703</v>
      </c>
      <c r="D52" s="88">
        <v>1278</v>
      </c>
      <c r="E52" s="88">
        <v>1059</v>
      </c>
      <c r="F52" s="88">
        <v>1177</v>
      </c>
      <c r="H52" s="29" t="s">
        <v>72</v>
      </c>
      <c r="I52" s="30"/>
    </row>
    <row r="53" spans="2:12" ht="14.25" customHeight="1">
      <c r="B53" s="81" t="s">
        <v>58</v>
      </c>
      <c r="C53" s="88">
        <v>1465</v>
      </c>
      <c r="D53" s="88">
        <v>923</v>
      </c>
      <c r="E53" s="88">
        <v>1188</v>
      </c>
      <c r="F53" s="88">
        <v>1310</v>
      </c>
      <c r="H53" s="81" t="s">
        <v>22</v>
      </c>
      <c r="I53" s="81" t="s">
        <v>21</v>
      </c>
    </row>
    <row r="54" spans="2:12" ht="14.25" customHeight="1">
      <c r="B54" s="81" t="s">
        <v>59</v>
      </c>
      <c r="C54" s="88">
        <v>244</v>
      </c>
      <c r="D54" s="88">
        <v>449</v>
      </c>
      <c r="E54" s="88">
        <v>175</v>
      </c>
      <c r="F54" s="88">
        <v>283</v>
      </c>
      <c r="H54" s="113">
        <f>$C$56*SUMPRODUCT(C12:F14,C52:F54)</f>
        <v>810531.13330430491</v>
      </c>
      <c r="I54" s="114">
        <f>$C$56*SUMPRODUCT(J12:M14,C52:F54)</f>
        <v>714022.65485096944</v>
      </c>
    </row>
    <row r="55" spans="2:12" ht="14.25" customHeight="1">
      <c r="G55" s="40"/>
    </row>
    <row r="56" spans="2:12" ht="15">
      <c r="B56" s="81" t="s">
        <v>74</v>
      </c>
      <c r="C56" s="88">
        <v>0.27200000000000002</v>
      </c>
      <c r="D56" s="81" t="s">
        <v>75</v>
      </c>
      <c r="G56" s="40"/>
    </row>
    <row r="57" spans="2:12" ht="14.25" customHeight="1">
      <c r="G57" s="40"/>
    </row>
    <row r="59" spans="2:12" ht="33" customHeight="1">
      <c r="B59" s="81" t="s">
        <v>73</v>
      </c>
      <c r="C59" s="82" t="s">
        <v>76</v>
      </c>
      <c r="D59" s="83"/>
      <c r="E59" s="82" t="s">
        <v>77</v>
      </c>
      <c r="F59" s="83"/>
      <c r="H59" s="29" t="s">
        <v>79</v>
      </c>
      <c r="I59" s="30"/>
      <c r="K59" s="29" t="s">
        <v>78</v>
      </c>
      <c r="L59" s="30"/>
    </row>
    <row r="60" spans="2:12" ht="14.25" customHeight="1">
      <c r="B60" s="81"/>
      <c r="C60" s="81" t="s">
        <v>20</v>
      </c>
      <c r="D60" s="81" t="s">
        <v>21</v>
      </c>
      <c r="E60" s="81" t="s">
        <v>20</v>
      </c>
      <c r="F60" s="81" t="s">
        <v>21</v>
      </c>
      <c r="H60" s="81" t="s">
        <v>22</v>
      </c>
      <c r="I60" s="81" t="s">
        <v>21</v>
      </c>
      <c r="K60" s="81" t="s">
        <v>22</v>
      </c>
      <c r="L60" s="81" t="s">
        <v>21</v>
      </c>
    </row>
    <row r="61" spans="2:12" ht="14.25" customHeight="1">
      <c r="B61" s="81" t="s">
        <v>70</v>
      </c>
      <c r="C61" s="88">
        <v>94.5</v>
      </c>
      <c r="D61" s="88">
        <v>101.5</v>
      </c>
      <c r="E61" s="88">
        <v>54.5</v>
      </c>
      <c r="F61" s="88">
        <v>71</v>
      </c>
      <c r="H61" s="113">
        <f>C61*1000*C25</f>
        <v>94500</v>
      </c>
      <c r="I61" s="113">
        <f>D61*1000*D25</f>
        <v>101500</v>
      </c>
      <c r="J61" s="115"/>
      <c r="K61" s="113">
        <f>E61*SUM(C12:C14)</f>
        <v>136249.99999999607</v>
      </c>
      <c r="L61" s="113">
        <f>F61*SUM(J12:J14)</f>
        <v>175501.30860832537</v>
      </c>
    </row>
    <row r="62" spans="2:12" ht="14.25" customHeight="1">
      <c r="B62" s="81" t="s">
        <v>71</v>
      </c>
      <c r="C62" s="88">
        <v>61</v>
      </c>
      <c r="D62" s="88">
        <v>78</v>
      </c>
      <c r="E62" s="88">
        <v>37</v>
      </c>
      <c r="F62" s="88">
        <v>58</v>
      </c>
      <c r="H62" s="113">
        <f>C62*1000*C26</f>
        <v>61000</v>
      </c>
      <c r="I62" s="113">
        <f t="shared" ref="I62:I64" si="0">D62*1000*D26</f>
        <v>78000</v>
      </c>
      <c r="J62" s="115"/>
      <c r="K62" s="113">
        <f>E62*SUM(D12:D14)</f>
        <v>100731.78904313329</v>
      </c>
      <c r="L62" s="113">
        <f>F62*SUM(K12:K14)</f>
        <v>139872.22425876246</v>
      </c>
    </row>
    <row r="63" spans="2:12" ht="14.25" customHeight="1">
      <c r="B63" s="81" t="s">
        <v>69</v>
      </c>
      <c r="C63" s="88">
        <v>53</v>
      </c>
      <c r="D63" s="88">
        <v>64.400000000000006</v>
      </c>
      <c r="E63" s="88">
        <v>42</v>
      </c>
      <c r="F63" s="88">
        <v>57</v>
      </c>
      <c r="H63" s="113">
        <f t="shared" ref="H63:H64" si="1">C63*1000*C27</f>
        <v>0</v>
      </c>
      <c r="I63" s="113">
        <f t="shared" si="0"/>
        <v>64400.000000000007</v>
      </c>
      <c r="J63" s="115"/>
      <c r="K63" s="113">
        <f>E63*SUM(E12:E14)</f>
        <v>7.6397554948925972E-11</v>
      </c>
      <c r="L63" s="113">
        <f>F63*SUM(L12:L14)</f>
        <v>305893.94904460048</v>
      </c>
    </row>
    <row r="64" spans="2:12" ht="14.25" customHeight="1">
      <c r="B64" s="47" t="s">
        <v>131</v>
      </c>
      <c r="C64" s="88">
        <v>60</v>
      </c>
      <c r="D64" s="88">
        <v>70</v>
      </c>
      <c r="E64" s="88">
        <v>53</v>
      </c>
      <c r="F64" s="88">
        <v>65</v>
      </c>
      <c r="H64" s="113">
        <f t="shared" si="1"/>
        <v>0</v>
      </c>
      <c r="I64" s="113">
        <f t="shared" si="0"/>
        <v>0</v>
      </c>
      <c r="J64" s="115"/>
      <c r="K64" s="113">
        <f>E64*SUM(F12:F14)</f>
        <v>0</v>
      </c>
      <c r="L64" s="113">
        <f>F64*SUM(M12:M14)</f>
        <v>0</v>
      </c>
    </row>
    <row r="67" spans="2:10" ht="14.25" customHeight="1">
      <c r="B67" s="81" t="s">
        <v>83</v>
      </c>
      <c r="C67" s="81" t="s">
        <v>23</v>
      </c>
      <c r="D67" s="81" t="s">
        <v>24</v>
      </c>
      <c r="E67" s="81" t="s">
        <v>25</v>
      </c>
      <c r="F67" s="81" t="s">
        <v>26</v>
      </c>
      <c r="G67" s="81" t="s">
        <v>27</v>
      </c>
    </row>
    <row r="68" spans="2:10" ht="14.25" customHeight="1">
      <c r="B68" s="81" t="s">
        <v>31</v>
      </c>
      <c r="C68" s="94">
        <v>681</v>
      </c>
      <c r="D68" s="88">
        <v>190</v>
      </c>
      <c r="E68" s="94">
        <v>532</v>
      </c>
      <c r="F68" s="88">
        <v>298</v>
      </c>
      <c r="G68" s="88">
        <v>427</v>
      </c>
    </row>
    <row r="69" spans="2:10" ht="14.25" customHeight="1">
      <c r="B69" s="81" t="s">
        <v>71</v>
      </c>
      <c r="C69" s="88">
        <v>114</v>
      </c>
      <c r="D69" s="94">
        <v>637</v>
      </c>
      <c r="E69" s="94">
        <v>519</v>
      </c>
      <c r="F69" s="94">
        <v>735</v>
      </c>
      <c r="G69" s="88">
        <v>366</v>
      </c>
      <c r="I69" s="29" t="s">
        <v>72</v>
      </c>
      <c r="J69" s="30"/>
    </row>
    <row r="70" spans="2:10" ht="14.25" customHeight="1">
      <c r="B70" s="81" t="s">
        <v>69</v>
      </c>
      <c r="C70" s="88">
        <v>213</v>
      </c>
      <c r="D70" s="88">
        <v>395</v>
      </c>
      <c r="E70" s="88">
        <v>445</v>
      </c>
      <c r="F70" s="88">
        <v>391</v>
      </c>
      <c r="G70" s="88">
        <v>197</v>
      </c>
      <c r="I70" s="81" t="s">
        <v>22</v>
      </c>
      <c r="J70" s="81" t="s">
        <v>21</v>
      </c>
    </row>
    <row r="71" spans="2:10" ht="14.25" customHeight="1">
      <c r="B71" s="47" t="s">
        <v>131</v>
      </c>
      <c r="C71" s="88">
        <v>305</v>
      </c>
      <c r="D71" s="88">
        <v>305</v>
      </c>
      <c r="E71" s="88">
        <v>310</v>
      </c>
      <c r="F71" s="88">
        <v>480</v>
      </c>
      <c r="G71" s="88">
        <v>140</v>
      </c>
      <c r="I71" s="113">
        <f>$C$73*SUMPRODUCT(C19:G22,C68:G71)</f>
        <v>319741.968784631</v>
      </c>
      <c r="J71" s="113">
        <f>$C$73*SUMPRODUCT(J19:N22,C68:G71)</f>
        <v>495198.77248607576</v>
      </c>
    </row>
    <row r="73" spans="2:10" ht="29.25" customHeight="1">
      <c r="B73" s="81" t="s">
        <v>74</v>
      </c>
      <c r="C73" s="88">
        <v>0.251</v>
      </c>
      <c r="D73" s="81" t="s">
        <v>84</v>
      </c>
    </row>
    <row r="75" spans="2:10" ht="14.25" customHeight="1">
      <c r="B75" s="95"/>
      <c r="C75" s="96"/>
      <c r="D75" s="96"/>
      <c r="E75" s="96"/>
      <c r="F75" s="96"/>
      <c r="G75" s="96"/>
      <c r="H75" s="96"/>
    </row>
    <row r="76" spans="2:10" ht="63" customHeight="1">
      <c r="B76" s="81" t="s">
        <v>73</v>
      </c>
      <c r="C76" s="81" t="s">
        <v>88</v>
      </c>
      <c r="D76" s="82" t="s">
        <v>135</v>
      </c>
      <c r="E76" s="83"/>
      <c r="G76" s="116" t="s">
        <v>87</v>
      </c>
      <c r="I76" s="29" t="s">
        <v>78</v>
      </c>
      <c r="J76" s="30"/>
    </row>
    <row r="77" spans="2:10" ht="14.25" customHeight="1">
      <c r="B77" s="81"/>
      <c r="C77" s="81"/>
      <c r="D77" s="81" t="s">
        <v>50</v>
      </c>
      <c r="E77" s="81" t="s">
        <v>86</v>
      </c>
      <c r="G77" s="81" t="s">
        <v>95</v>
      </c>
      <c r="I77" s="81" t="s">
        <v>22</v>
      </c>
      <c r="J77" s="81" t="s">
        <v>21</v>
      </c>
    </row>
    <row r="78" spans="2:10" ht="14.25" customHeight="1">
      <c r="B78" s="81" t="s">
        <v>70</v>
      </c>
      <c r="C78" s="88">
        <v>179.5</v>
      </c>
      <c r="D78" s="88">
        <v>28.5</v>
      </c>
      <c r="E78" s="88">
        <v>35.28</v>
      </c>
      <c r="G78" s="114">
        <f>C78*1000*E25</f>
        <v>179500</v>
      </c>
      <c r="H78" s="115"/>
      <c r="I78" s="113">
        <f>D78*SUM(C19:G19)</f>
        <v>61422.413793101769</v>
      </c>
      <c r="J78" s="114">
        <f>E78*SUM(J19:N19)</f>
        <v>70899.875961315905</v>
      </c>
    </row>
    <row r="79" spans="2:10" ht="14.25" customHeight="1">
      <c r="B79" s="81" t="s">
        <v>71</v>
      </c>
      <c r="C79" s="88">
        <v>233</v>
      </c>
      <c r="D79" s="88">
        <v>20.45</v>
      </c>
      <c r="E79" s="88">
        <v>29.75</v>
      </c>
      <c r="G79" s="114">
        <f>C79*1000*E26</f>
        <v>233000</v>
      </c>
      <c r="H79" s="115"/>
      <c r="I79" s="113">
        <f t="shared" ref="I79:I81" si="2">D79*SUM(C20:G20)</f>
        <v>47995.458665705388</v>
      </c>
      <c r="J79" s="114">
        <f t="shared" ref="J79:J81" si="3">E79*SUM(J20:N20)</f>
        <v>58329.109499554041</v>
      </c>
    </row>
    <row r="80" spans="2:10" ht="14.25" customHeight="1">
      <c r="B80" s="81" t="s">
        <v>69</v>
      </c>
      <c r="C80" s="88">
        <v>222</v>
      </c>
      <c r="D80" s="88">
        <v>21.33</v>
      </c>
      <c r="E80" s="88">
        <v>30.55</v>
      </c>
      <c r="G80" s="114">
        <f>C80*1000*E27</f>
        <v>222000</v>
      </c>
      <c r="H80" s="115"/>
      <c r="I80" s="113">
        <f>D80*SUM(C21:G21)</f>
        <v>0</v>
      </c>
      <c r="J80" s="114">
        <f>E80*SUM(J21:N21)</f>
        <v>133291.40127389162</v>
      </c>
    </row>
    <row r="81" spans="2:11" ht="14.25" customHeight="1">
      <c r="B81" s="47" t="s">
        <v>131</v>
      </c>
      <c r="C81" s="88">
        <v>190</v>
      </c>
      <c r="D81" s="88">
        <v>24</v>
      </c>
      <c r="E81" s="88">
        <v>28</v>
      </c>
      <c r="G81" s="114">
        <f>C81*1000*E28</f>
        <v>0</v>
      </c>
      <c r="H81" s="115"/>
      <c r="I81" s="113">
        <f t="shared" si="2"/>
        <v>0</v>
      </c>
      <c r="J81" s="114">
        <f t="shared" si="3"/>
        <v>0</v>
      </c>
    </row>
    <row r="84" spans="2:11" ht="14.25" customHeight="1">
      <c r="B84" s="32" t="s">
        <v>97</v>
      </c>
      <c r="C84" s="96"/>
      <c r="D84" s="96"/>
      <c r="E84" s="96"/>
      <c r="F84" s="96"/>
      <c r="G84" s="96"/>
      <c r="H84" s="96"/>
    </row>
    <row r="85" spans="2:11" ht="14.25" customHeight="1">
      <c r="F85" s="96"/>
      <c r="G85" s="96"/>
      <c r="H85" s="96" t="s">
        <v>104</v>
      </c>
      <c r="J85" s="38" t="s">
        <v>105</v>
      </c>
    </row>
    <row r="86" spans="2:11" ht="30" customHeight="1">
      <c r="B86" s="81"/>
      <c r="C86" s="82" t="s">
        <v>134</v>
      </c>
      <c r="D86" s="83"/>
      <c r="E86" s="82" t="s">
        <v>96</v>
      </c>
      <c r="F86" s="83"/>
      <c r="H86" s="118">
        <f>SUM(C12:F12)</f>
        <v>2499.9999999999277</v>
      </c>
      <c r="I86" s="98" t="s">
        <v>98</v>
      </c>
      <c r="J86" s="122">
        <f>C88*1000*H26</f>
        <v>2500</v>
      </c>
      <c r="K86" s="99" t="s">
        <v>100</v>
      </c>
    </row>
    <row r="87" spans="2:11" ht="14.25" customHeight="1">
      <c r="B87" s="81"/>
      <c r="C87" s="81" t="s">
        <v>20</v>
      </c>
      <c r="D87" s="81" t="s">
        <v>21</v>
      </c>
      <c r="E87" s="81" t="s">
        <v>22</v>
      </c>
      <c r="F87" s="81" t="s">
        <v>21</v>
      </c>
      <c r="H87" s="119">
        <f>SUM(C13:F13)</f>
        <v>0</v>
      </c>
      <c r="I87" s="101" t="s">
        <v>98</v>
      </c>
      <c r="J87" s="123">
        <f>C89*1000*H27</f>
        <v>0</v>
      </c>
      <c r="K87" s="102"/>
    </row>
    <row r="88" spans="2:11" ht="14.25" customHeight="1">
      <c r="B88" s="81" t="s">
        <v>57</v>
      </c>
      <c r="C88" s="88">
        <v>2.5</v>
      </c>
      <c r="D88" s="88">
        <v>0</v>
      </c>
      <c r="E88" s="88">
        <v>15</v>
      </c>
      <c r="F88" s="88">
        <v>1</v>
      </c>
      <c r="H88" s="117">
        <f>SUM(C14:F14)</f>
        <v>2722.4807849495501</v>
      </c>
      <c r="I88" s="104" t="s">
        <v>98</v>
      </c>
      <c r="J88" s="124">
        <f>C90*1000*H28</f>
        <v>0</v>
      </c>
      <c r="K88" s="105"/>
    </row>
    <row r="89" spans="2:11" ht="14.25" customHeight="1">
      <c r="B89" s="81" t="s">
        <v>58</v>
      </c>
      <c r="C89" s="88">
        <v>4.2</v>
      </c>
      <c r="D89" s="88">
        <v>0</v>
      </c>
      <c r="E89" s="88">
        <v>17.5</v>
      </c>
      <c r="F89" s="88">
        <v>3.4</v>
      </c>
      <c r="H89" s="118">
        <f>SUM(C12:F12)</f>
        <v>2499.9999999999277</v>
      </c>
      <c r="I89" s="98" t="s">
        <v>99</v>
      </c>
      <c r="J89" s="122">
        <f>E88*1000*H26</f>
        <v>15000</v>
      </c>
      <c r="K89" s="99" t="s">
        <v>102</v>
      </c>
    </row>
    <row r="90" spans="2:11" ht="14.25" customHeight="1">
      <c r="B90" s="81" t="s">
        <v>59</v>
      </c>
      <c r="C90" s="88">
        <v>0</v>
      </c>
      <c r="D90" s="88">
        <v>2.5499999999999998</v>
      </c>
      <c r="E90" s="88">
        <v>3.15</v>
      </c>
      <c r="F90" s="88">
        <v>10.25</v>
      </c>
      <c r="H90" s="119">
        <f>SUM(C13:F13)</f>
        <v>0</v>
      </c>
      <c r="I90" s="101" t="s">
        <v>99</v>
      </c>
      <c r="J90" s="123">
        <f>E89*1000*H27</f>
        <v>0</v>
      </c>
      <c r="K90" s="102"/>
    </row>
    <row r="91" spans="2:11" ht="14.25" customHeight="1">
      <c r="F91" s="96"/>
      <c r="G91" s="96"/>
      <c r="H91" s="117">
        <f>SUM(C14:F14)</f>
        <v>2722.4807849495501</v>
      </c>
      <c r="I91" s="104" t="s">
        <v>99</v>
      </c>
      <c r="J91" s="124">
        <f>E90*1000*H28</f>
        <v>3150</v>
      </c>
      <c r="K91" s="105"/>
    </row>
    <row r="92" spans="2:11" ht="14.25" customHeight="1">
      <c r="F92" s="96"/>
      <c r="G92" s="96"/>
      <c r="H92" s="118">
        <f>SUM(J12:M12)</f>
        <v>0</v>
      </c>
      <c r="I92" s="98" t="s">
        <v>98</v>
      </c>
      <c r="J92" s="122">
        <f>D88*1000*I26</f>
        <v>0</v>
      </c>
      <c r="K92" s="99" t="s">
        <v>103</v>
      </c>
    </row>
    <row r="93" spans="2:11" ht="14.25" customHeight="1">
      <c r="F93" s="96"/>
      <c r="G93" s="96"/>
      <c r="H93" s="119">
        <f>SUM(J13:M13)</f>
        <v>2.2737367544323206E-13</v>
      </c>
      <c r="I93" s="101" t="s">
        <v>98</v>
      </c>
      <c r="J93" s="123">
        <f>D89*1000*I27</f>
        <v>0</v>
      </c>
      <c r="K93" s="102"/>
    </row>
    <row r="94" spans="2:11" ht="14.25" customHeight="1">
      <c r="B94" s="81" t="s">
        <v>73</v>
      </c>
      <c r="C94" s="82" t="s">
        <v>136</v>
      </c>
      <c r="D94" s="83"/>
      <c r="F94" s="96"/>
      <c r="G94" s="96"/>
      <c r="H94" s="117">
        <f>SUM(J14:M14)</f>
        <v>10250</v>
      </c>
      <c r="I94" s="104" t="s">
        <v>98</v>
      </c>
      <c r="J94" s="124">
        <f>D90*1000*I28</f>
        <v>2550</v>
      </c>
      <c r="K94" s="105"/>
    </row>
    <row r="95" spans="2:11" ht="14.25" customHeight="1">
      <c r="B95" s="81"/>
      <c r="C95" s="81" t="s">
        <v>22</v>
      </c>
      <c r="D95" s="81" t="s">
        <v>21</v>
      </c>
      <c r="F95" s="96"/>
      <c r="G95" s="96"/>
      <c r="H95" s="118">
        <f>SUM(J12:M12)</f>
        <v>0</v>
      </c>
      <c r="I95" s="98" t="s">
        <v>99</v>
      </c>
      <c r="J95" s="122">
        <f>F88*1000*I26</f>
        <v>0</v>
      </c>
      <c r="K95" s="99" t="s">
        <v>101</v>
      </c>
    </row>
    <row r="96" spans="2:11" ht="14.25" customHeight="1">
      <c r="B96" s="81" t="s">
        <v>70</v>
      </c>
      <c r="C96" s="88">
        <v>19.25</v>
      </c>
      <c r="D96" s="88">
        <v>11.25</v>
      </c>
      <c r="F96" s="96"/>
      <c r="G96" s="96"/>
      <c r="H96" s="119">
        <f>SUM(J13:M13)</f>
        <v>2.2737367544323206E-13</v>
      </c>
      <c r="I96" s="101" t="s">
        <v>99</v>
      </c>
      <c r="J96" s="123">
        <f>F89*1000*I27</f>
        <v>0</v>
      </c>
      <c r="K96" s="102"/>
    </row>
    <row r="97" spans="2:11" ht="14.25" customHeight="1">
      <c r="B97" s="81" t="s">
        <v>71</v>
      </c>
      <c r="C97" s="88">
        <v>26.4</v>
      </c>
      <c r="D97" s="88">
        <v>16</v>
      </c>
      <c r="F97" s="96"/>
      <c r="G97" s="96"/>
      <c r="H97" s="117">
        <f>SUM(J14:M14)</f>
        <v>10250</v>
      </c>
      <c r="I97" s="104" t="s">
        <v>99</v>
      </c>
      <c r="J97" s="124">
        <f>F90*1000*I28</f>
        <v>10250</v>
      </c>
      <c r="K97" s="105"/>
    </row>
    <row r="98" spans="2:11" ht="14.25" customHeight="1">
      <c r="B98" s="81" t="s">
        <v>69</v>
      </c>
      <c r="C98" s="88">
        <v>25.5</v>
      </c>
      <c r="D98" s="88">
        <v>14</v>
      </c>
      <c r="F98" s="96"/>
      <c r="G98" s="96"/>
      <c r="H98" s="120"/>
      <c r="I98" s="106"/>
      <c r="J98" s="121"/>
    </row>
    <row r="99" spans="2:11" ht="14.25" customHeight="1">
      <c r="B99" s="47" t="s">
        <v>131</v>
      </c>
      <c r="C99" s="88">
        <v>20</v>
      </c>
      <c r="D99" s="88">
        <v>16</v>
      </c>
      <c r="H99" s="118">
        <f>SUM(C12:C14)</f>
        <v>2499.9999999999277</v>
      </c>
      <c r="I99" s="98" t="s">
        <v>99</v>
      </c>
      <c r="J99" s="122">
        <f>C96*1000*C25</f>
        <v>19250</v>
      </c>
      <c r="K99" s="99" t="s">
        <v>106</v>
      </c>
    </row>
    <row r="100" spans="2:11" ht="14.25" customHeight="1">
      <c r="H100" s="119">
        <f>SUM(D12:D14)</f>
        <v>2722.4807849495483</v>
      </c>
      <c r="I100" s="101" t="s">
        <v>99</v>
      </c>
      <c r="J100" s="123">
        <f>C97*1000*C26</f>
        <v>26400</v>
      </c>
      <c r="K100" s="102"/>
    </row>
    <row r="101" spans="2:11" ht="14.25" customHeight="1">
      <c r="H101" s="119">
        <f>SUM(E12:E14)</f>
        <v>1.8189894035458565E-12</v>
      </c>
      <c r="I101" s="101" t="s">
        <v>99</v>
      </c>
      <c r="J101" s="123">
        <f>C98*1000*C27</f>
        <v>0</v>
      </c>
      <c r="K101" s="102"/>
    </row>
    <row r="102" spans="2:11" ht="14.25" customHeight="1">
      <c r="H102" s="117">
        <f>SUM(F12:F14)</f>
        <v>0</v>
      </c>
      <c r="I102" s="104" t="s">
        <v>99</v>
      </c>
      <c r="J102" s="124">
        <f>C99*1000*C28</f>
        <v>0</v>
      </c>
      <c r="K102" s="105"/>
    </row>
    <row r="103" spans="2:11" ht="14.25" customHeight="1">
      <c r="B103" s="81" t="s">
        <v>73</v>
      </c>
      <c r="C103" s="81" t="s">
        <v>89</v>
      </c>
      <c r="D103" s="82" t="s">
        <v>85</v>
      </c>
      <c r="E103" s="83"/>
      <c r="H103" s="118">
        <f>SUM(J12:J14)</f>
        <v>2471.8494170186673</v>
      </c>
      <c r="I103" s="98" t="s">
        <v>99</v>
      </c>
      <c r="J103" s="122">
        <f>D96*1000*D25</f>
        <v>11250</v>
      </c>
      <c r="K103" s="99" t="s">
        <v>107</v>
      </c>
    </row>
    <row r="104" spans="2:11" ht="14.25" customHeight="1">
      <c r="B104" s="81"/>
      <c r="C104" s="81"/>
      <c r="D104" s="81" t="s">
        <v>50</v>
      </c>
      <c r="E104" s="81" t="s">
        <v>86</v>
      </c>
      <c r="H104" s="119">
        <f>SUM(K12:K14)</f>
        <v>2411.5900734269389</v>
      </c>
      <c r="I104" s="101" t="s">
        <v>99</v>
      </c>
      <c r="J104" s="123">
        <f>D97*1000*D26</f>
        <v>16000</v>
      </c>
      <c r="K104" s="102"/>
    </row>
    <row r="105" spans="2:11" ht="14.25" customHeight="1">
      <c r="B105" s="81" t="s">
        <v>70</v>
      </c>
      <c r="C105" s="88">
        <v>805</v>
      </c>
      <c r="D105" s="88">
        <v>0.17910000000000001</v>
      </c>
      <c r="E105" s="88">
        <v>0.20849999999999999</v>
      </c>
      <c r="H105" s="119">
        <f>SUM(L12:L14)</f>
        <v>5366.5605095543942</v>
      </c>
      <c r="I105" s="101" t="s">
        <v>99</v>
      </c>
      <c r="J105" s="123">
        <f>D98*1000*D27</f>
        <v>14000</v>
      </c>
      <c r="K105" s="102"/>
    </row>
    <row r="106" spans="2:11" ht="14.25" customHeight="1">
      <c r="B106" s="81" t="s">
        <v>71</v>
      </c>
      <c r="C106" s="88">
        <v>610</v>
      </c>
      <c r="D106" s="88">
        <v>0.1275</v>
      </c>
      <c r="E106" s="88">
        <v>0.1585</v>
      </c>
      <c r="H106" s="117">
        <f>SUM(M12:M14)</f>
        <v>0</v>
      </c>
      <c r="I106" s="104" t="s">
        <v>99</v>
      </c>
      <c r="J106" s="124">
        <f>D99*1000*D28</f>
        <v>0</v>
      </c>
      <c r="K106" s="105"/>
    </row>
    <row r="107" spans="2:11" ht="14.25" customHeight="1">
      <c r="B107" s="81" t="s">
        <v>69</v>
      </c>
      <c r="C107" s="88">
        <v>685</v>
      </c>
      <c r="D107" s="88">
        <v>0.1313</v>
      </c>
      <c r="E107" s="88">
        <v>0.157</v>
      </c>
      <c r="H107" s="121"/>
      <c r="I107" s="106"/>
      <c r="J107" s="121"/>
    </row>
    <row r="108" spans="2:11" ht="14.25" customHeight="1">
      <c r="B108" s="47" t="s">
        <v>131</v>
      </c>
      <c r="C108" s="88">
        <v>750</v>
      </c>
      <c r="D108" s="107">
        <v>0.155</v>
      </c>
      <c r="E108" s="88">
        <v>0.1865</v>
      </c>
      <c r="H108" s="118">
        <f>D105*SUM(C19:G19)+E105*SUM(J19:N19)</f>
        <v>805.0000000000839</v>
      </c>
      <c r="I108" s="98" t="s">
        <v>99</v>
      </c>
      <c r="J108" s="122">
        <f>C105*E25</f>
        <v>805</v>
      </c>
      <c r="K108" s="99" t="s">
        <v>108</v>
      </c>
    </row>
    <row r="109" spans="2:11" ht="14.25" customHeight="1">
      <c r="H109" s="119">
        <f>D106*SUM(C20:G20)+E106*SUM(J20:N20)</f>
        <v>609.99999999999307</v>
      </c>
      <c r="I109" s="101" t="s">
        <v>99</v>
      </c>
      <c r="J109" s="123">
        <f>C106*E26</f>
        <v>610</v>
      </c>
      <c r="K109" s="102"/>
    </row>
    <row r="110" spans="2:11" ht="14.25" customHeight="1">
      <c r="H110" s="119">
        <f>D107*SUM(C21:G21)+E107*SUM(J21:N21)</f>
        <v>685.00000000003217</v>
      </c>
      <c r="I110" s="101" t="s">
        <v>99</v>
      </c>
      <c r="J110" s="123">
        <f>C107*E27</f>
        <v>685</v>
      </c>
      <c r="K110" s="102"/>
    </row>
    <row r="111" spans="2:11" ht="14.25" customHeight="1">
      <c r="H111" s="117">
        <f>D108*SUM(C22:G22)+E108*SUM(J22:N22)</f>
        <v>0</v>
      </c>
      <c r="I111" s="104" t="s">
        <v>99</v>
      </c>
      <c r="J111" s="124">
        <f>C108*E28</f>
        <v>0</v>
      </c>
      <c r="K111" s="105"/>
    </row>
    <row r="112" spans="2:11" ht="14.25" customHeight="1">
      <c r="H112" s="115"/>
      <c r="I112" s="93"/>
      <c r="J112" s="115"/>
    </row>
    <row r="113" spans="2:11" ht="14.25" customHeight="1">
      <c r="H113" s="118">
        <f>SUM(C19:C22)</f>
        <v>600</v>
      </c>
      <c r="I113" s="98" t="s">
        <v>98</v>
      </c>
      <c r="J113" s="122">
        <f>E123</f>
        <v>600</v>
      </c>
      <c r="K113" s="99" t="s">
        <v>112</v>
      </c>
    </row>
    <row r="114" spans="2:11" ht="14.25" customHeight="1">
      <c r="H114" s="119">
        <f>SUM(D19:D22)</f>
        <v>1555.1724137930446</v>
      </c>
      <c r="I114" s="101" t="s">
        <v>98</v>
      </c>
      <c r="J114" s="123">
        <f>E124</f>
        <v>600</v>
      </c>
      <c r="K114" s="102"/>
    </row>
    <row r="115" spans="2:11" ht="14.25" customHeight="1">
      <c r="H115" s="119">
        <f>SUM(E19:E22)</f>
        <v>600</v>
      </c>
      <c r="I115" s="101" t="s">
        <v>98</v>
      </c>
      <c r="J115" s="123">
        <f>E125</f>
        <v>600</v>
      </c>
      <c r="K115" s="102"/>
    </row>
    <row r="116" spans="2:11" ht="14.25" customHeight="1">
      <c r="B116" s="108" t="s">
        <v>2</v>
      </c>
      <c r="H116" s="119">
        <f>SUM(F19:F22)</f>
        <v>600.00000000000011</v>
      </c>
      <c r="I116" s="101" t="s">
        <v>98</v>
      </c>
      <c r="J116" s="123">
        <f>E126</f>
        <v>600</v>
      </c>
      <c r="K116" s="102"/>
    </row>
    <row r="117" spans="2:11" ht="14.25" customHeight="1">
      <c r="B117" s="81" t="s">
        <v>14</v>
      </c>
      <c r="C117" s="109">
        <f>'Oat Forecast - Part A'!G20+'Oat Forecast - Part A'!G21</f>
        <v>14628.812623094564</v>
      </c>
      <c r="H117" s="119">
        <f>SUM(G19:G22)</f>
        <v>1146.9661939220241</v>
      </c>
      <c r="I117" s="101" t="s">
        <v>98</v>
      </c>
      <c r="J117" s="123">
        <f>E127</f>
        <v>600</v>
      </c>
      <c r="K117" s="102"/>
    </row>
    <row r="118" spans="2:11" ht="14.25" customHeight="1">
      <c r="B118" s="81" t="s">
        <v>28</v>
      </c>
      <c r="C118" s="109">
        <f>'Corn Forecast - Part A'!G20+'Corn Forecast - Part A'!G21</f>
        <v>11778.434407861709</v>
      </c>
      <c r="D118" s="81" t="s">
        <v>111</v>
      </c>
      <c r="H118" s="118">
        <f>SUM(C19:C22)</f>
        <v>600</v>
      </c>
      <c r="I118" s="98" t="s">
        <v>99</v>
      </c>
      <c r="J118" s="122">
        <f>$C$117*C123*$C$130</f>
        <v>3458.8472223540048</v>
      </c>
      <c r="K118" s="99" t="s">
        <v>113</v>
      </c>
    </row>
    <row r="119" spans="2:11" ht="14.25" customHeight="1">
      <c r="H119" s="119">
        <f>SUM(D19:D22)</f>
        <v>1555.1724137930446</v>
      </c>
      <c r="I119" s="101" t="s">
        <v>99</v>
      </c>
      <c r="J119" s="123">
        <f t="shared" ref="J119:J122" si="4">$C$117*C124*$C$130</f>
        <v>2758.4731825368794</v>
      </c>
      <c r="K119" s="102"/>
    </row>
    <row r="120" spans="2:11" ht="14.25" customHeight="1">
      <c r="H120" s="119">
        <f>SUM(E19:E22)</f>
        <v>600</v>
      </c>
      <c r="I120" s="101" t="s">
        <v>99</v>
      </c>
      <c r="J120" s="123">
        <f t="shared" si="4"/>
        <v>2347.253567729967</v>
      </c>
      <c r="K120" s="102"/>
    </row>
    <row r="121" spans="2:11" ht="14.25" customHeight="1">
      <c r="B121" s="81" t="s">
        <v>19</v>
      </c>
      <c r="C121" s="82" t="s">
        <v>29</v>
      </c>
      <c r="D121" s="83"/>
      <c r="E121" s="82" t="s">
        <v>110</v>
      </c>
      <c r="F121" s="83"/>
      <c r="H121" s="119">
        <f>SUM(F19:F22)</f>
        <v>600.00000000000011</v>
      </c>
      <c r="I121" s="101" t="s">
        <v>99</v>
      </c>
      <c r="J121" s="123">
        <f t="shared" si="4"/>
        <v>2975.5891348801879</v>
      </c>
      <c r="K121" s="102"/>
    </row>
    <row r="122" spans="2:11" ht="14.25" customHeight="1">
      <c r="B122" s="81"/>
      <c r="C122" s="81" t="s">
        <v>20</v>
      </c>
      <c r="D122" s="81" t="s">
        <v>21</v>
      </c>
      <c r="E122" s="81" t="s">
        <v>22</v>
      </c>
      <c r="F122" s="81" t="s">
        <v>21</v>
      </c>
      <c r="H122" s="117">
        <f>SUM(G19:G22)</f>
        <v>1146.9661939220241</v>
      </c>
      <c r="I122" s="104" t="s">
        <v>99</v>
      </c>
      <c r="J122" s="124">
        <f t="shared" si="4"/>
        <v>3088.6495155935245</v>
      </c>
      <c r="K122" s="105"/>
    </row>
    <row r="123" spans="2:11" ht="14.25" customHeight="1">
      <c r="B123" s="81" t="s">
        <v>23</v>
      </c>
      <c r="C123" s="107">
        <v>0.23644073592777512</v>
      </c>
      <c r="D123" s="107">
        <v>0.14920662003071147</v>
      </c>
      <c r="E123" s="88">
        <v>600</v>
      </c>
      <c r="F123" s="88">
        <v>400</v>
      </c>
      <c r="H123" s="118">
        <f>SUM(J19:J22)</f>
        <v>1560.6423361194638</v>
      </c>
      <c r="I123" s="98" t="s">
        <v>98</v>
      </c>
      <c r="J123" s="122">
        <f>F123</f>
        <v>400</v>
      </c>
      <c r="K123" s="99" t="s">
        <v>114</v>
      </c>
    </row>
    <row r="124" spans="2:11" ht="14.25" customHeight="1">
      <c r="B124" s="81" t="s">
        <v>24</v>
      </c>
      <c r="C124" s="107">
        <v>0.18856439368032282</v>
      </c>
      <c r="D124" s="107">
        <v>0.19288517317863846</v>
      </c>
      <c r="E124" s="88">
        <v>600</v>
      </c>
      <c r="F124" s="88">
        <v>400</v>
      </c>
      <c r="H124" s="119">
        <f>SUM(K19:K22)</f>
        <v>2009.6336723728996</v>
      </c>
      <c r="I124" s="101" t="s">
        <v>98</v>
      </c>
      <c r="J124" s="123">
        <f>F124</f>
        <v>400</v>
      </c>
      <c r="K124" s="102"/>
    </row>
    <row r="125" spans="2:11" ht="14.25" customHeight="1">
      <c r="B125" s="81" t="s">
        <v>25</v>
      </c>
      <c r="C125" s="107">
        <v>0.16045414130360441</v>
      </c>
      <c r="D125" s="107">
        <v>0.24518000341238697</v>
      </c>
      <c r="E125" s="88">
        <v>600</v>
      </c>
      <c r="F125" s="88">
        <v>400</v>
      </c>
      <c r="H125" s="119">
        <f>SUM(L19:L22)</f>
        <v>399.99999999999972</v>
      </c>
      <c r="I125" s="101" t="s">
        <v>98</v>
      </c>
      <c r="J125" s="123">
        <f>F125</f>
        <v>400</v>
      </c>
      <c r="K125" s="102"/>
    </row>
    <row r="126" spans="2:11" ht="14.25" customHeight="1">
      <c r="B126" s="81" t="s">
        <v>26</v>
      </c>
      <c r="C126" s="107">
        <v>0.20340605977703302</v>
      </c>
      <c r="D126" s="107">
        <v>0.19373826991980891</v>
      </c>
      <c r="E126" s="88">
        <v>600</v>
      </c>
      <c r="F126" s="88">
        <v>400</v>
      </c>
      <c r="H126" s="119">
        <f>SUM(M19:M22)</f>
        <v>1783.6987576185657</v>
      </c>
      <c r="I126" s="101" t="s">
        <v>98</v>
      </c>
      <c r="J126" s="123">
        <f>F126</f>
        <v>400</v>
      </c>
      <c r="K126" s="102"/>
    </row>
    <row r="127" spans="2:11" ht="14.25" customHeight="1">
      <c r="B127" s="81" t="s">
        <v>27</v>
      </c>
      <c r="C127" s="107">
        <v>0.21113466931126462</v>
      </c>
      <c r="D127" s="107">
        <v>0.21898993345845419</v>
      </c>
      <c r="E127" s="88">
        <v>600</v>
      </c>
      <c r="F127" s="88">
        <v>400</v>
      </c>
      <c r="H127" s="119">
        <f>SUM(N19:N22)</f>
        <v>2579.3585672224031</v>
      </c>
      <c r="I127" s="101" t="s">
        <v>98</v>
      </c>
      <c r="J127" s="123">
        <f>F127</f>
        <v>400</v>
      </c>
      <c r="K127" s="102"/>
    </row>
    <row r="128" spans="2:11" ht="14.25" customHeight="1">
      <c r="H128" s="118">
        <f>SUM(J19:J22)</f>
        <v>1560.6423361194638</v>
      </c>
      <c r="I128" s="98" t="s">
        <v>99</v>
      </c>
      <c r="J128" s="122">
        <f>$C$118*D123*$C$130</f>
        <v>1757.42038725048</v>
      </c>
      <c r="K128" s="99" t="s">
        <v>115</v>
      </c>
    </row>
    <row r="129" spans="2:11" ht="14.25" customHeight="1">
      <c r="H129" s="119">
        <f>SUM(K19:K22)</f>
        <v>2009.6336723728996</v>
      </c>
      <c r="I129" s="101" t="s">
        <v>99</v>
      </c>
      <c r="J129" s="123">
        <f t="shared" ref="J129:J132" si="5">$C$118*D124*$C$130</f>
        <v>2271.8853605336394</v>
      </c>
      <c r="K129" s="102"/>
    </row>
    <row r="130" spans="2:11" ht="48" customHeight="1">
      <c r="B130" s="108" t="s">
        <v>123</v>
      </c>
      <c r="C130" s="107">
        <v>1</v>
      </c>
      <c r="D130" s="38" t="s">
        <v>124</v>
      </c>
      <c r="H130" s="119">
        <f>SUM(L19:L22)</f>
        <v>399.99999999999972</v>
      </c>
      <c r="I130" s="101" t="s">
        <v>99</v>
      </c>
      <c r="J130" s="123">
        <f t="shared" si="5"/>
        <v>2887.8365883121096</v>
      </c>
      <c r="K130" s="102"/>
    </row>
    <row r="131" spans="2:11" ht="14.25" customHeight="1">
      <c r="C131" s="38" t="s">
        <v>129</v>
      </c>
      <c r="H131" s="119">
        <f>SUM(M19:M22)</f>
        <v>1783.6987576185657</v>
      </c>
      <c r="I131" s="101" t="s">
        <v>99</v>
      </c>
      <c r="J131" s="123">
        <f t="shared" si="5"/>
        <v>2281.9335045430762</v>
      </c>
      <c r="K131" s="102"/>
    </row>
    <row r="132" spans="2:11" ht="14.25" customHeight="1">
      <c r="C132" s="38" t="s">
        <v>130</v>
      </c>
      <c r="H132" s="117">
        <f>SUM(N19:N22)</f>
        <v>2579.3585672224031</v>
      </c>
      <c r="I132" s="104" t="s">
        <v>99</v>
      </c>
      <c r="J132" s="124">
        <f t="shared" si="5"/>
        <v>2579.3585672224031</v>
      </c>
      <c r="K132" s="105"/>
    </row>
    <row r="133" spans="2:11" ht="14.25" customHeight="1">
      <c r="H133" s="115"/>
      <c r="I133" s="93"/>
      <c r="J133" s="115"/>
    </row>
    <row r="134" spans="2:11" ht="14.25" customHeight="1">
      <c r="H134" s="118">
        <f>SUM(C12:C14)</f>
        <v>2499.9999999999277</v>
      </c>
      <c r="I134" s="98" t="s">
        <v>98</v>
      </c>
      <c r="J134" s="122">
        <f>$B$136*SUM(C19:G19)</f>
        <v>2499.9999999999318</v>
      </c>
      <c r="K134" s="99" t="s">
        <v>116</v>
      </c>
    </row>
    <row r="135" spans="2:11" ht="14.25" customHeight="1">
      <c r="B135" s="110" t="s">
        <v>92</v>
      </c>
      <c r="C135" s="99"/>
      <c r="H135" s="119">
        <f>SUM(D12:D14)</f>
        <v>2722.4807849495483</v>
      </c>
      <c r="I135" s="101" t="s">
        <v>98</v>
      </c>
      <c r="J135" s="123">
        <f>$B$136*SUM(C20:G20)</f>
        <v>2722.4807849495478</v>
      </c>
      <c r="K135" s="102"/>
    </row>
    <row r="136" spans="2:11" ht="14.25" customHeight="1">
      <c r="B136" s="88">
        <v>1.1599999999999999</v>
      </c>
      <c r="C136" s="65" t="s">
        <v>90</v>
      </c>
      <c r="H136" s="119">
        <f>SUM(E12:E14)</f>
        <v>1.8189894035458565E-12</v>
      </c>
      <c r="I136" s="101" t="s">
        <v>98</v>
      </c>
      <c r="J136" s="123">
        <f t="shared" ref="J136:J137" si="6">$B$136*SUM(C21:G21)</f>
        <v>0</v>
      </c>
      <c r="K136" s="102"/>
    </row>
    <row r="137" spans="2:11" ht="14.25" customHeight="1">
      <c r="B137" s="88">
        <v>1.23</v>
      </c>
      <c r="C137" s="68" t="s">
        <v>91</v>
      </c>
      <c r="H137" s="117">
        <f>SUM(F12:F14)</f>
        <v>0</v>
      </c>
      <c r="I137" s="104" t="s">
        <v>98</v>
      </c>
      <c r="J137" s="124">
        <f t="shared" si="6"/>
        <v>0</v>
      </c>
      <c r="K137" s="105"/>
    </row>
    <row r="138" spans="2:11" ht="14.25" customHeight="1">
      <c r="H138" s="118">
        <f>SUM(J12:J14)</f>
        <v>2471.8494170186673</v>
      </c>
      <c r="I138" s="98" t="s">
        <v>98</v>
      </c>
      <c r="J138" s="122">
        <f>$B$137*SUM(J19:N19)</f>
        <v>2471.8494170186664</v>
      </c>
      <c r="K138" s="99" t="s">
        <v>117</v>
      </c>
    </row>
    <row r="139" spans="2:11" ht="14.25" customHeight="1">
      <c r="H139" s="119">
        <f>SUM(K12:K14)</f>
        <v>2411.5900734269389</v>
      </c>
      <c r="I139" s="101" t="s">
        <v>98</v>
      </c>
      <c r="J139" s="123">
        <f t="shared" ref="J139:J141" si="7">$B$137*SUM(J20:N20)</f>
        <v>2411.5900734269403</v>
      </c>
      <c r="K139" s="102"/>
    </row>
    <row r="140" spans="2:11" ht="14.25" customHeight="1">
      <c r="H140" s="119">
        <f>SUM(L12:L14)</f>
        <v>5366.5605095543942</v>
      </c>
      <c r="I140" s="101" t="s">
        <v>98</v>
      </c>
      <c r="J140" s="123">
        <f t="shared" si="7"/>
        <v>5366.5605095543924</v>
      </c>
      <c r="K140" s="102"/>
    </row>
    <row r="141" spans="2:11" ht="14.25" customHeight="1">
      <c r="H141" s="103">
        <f>SUM(M12:M14)</f>
        <v>0</v>
      </c>
      <c r="I141" s="104" t="s">
        <v>98</v>
      </c>
      <c r="J141" s="124">
        <f t="shared" si="7"/>
        <v>0</v>
      </c>
      <c r="K141" s="105"/>
    </row>
    <row r="142" spans="2:11" ht="14.25" customHeight="1">
      <c r="H142" s="93"/>
      <c r="I142" s="93"/>
      <c r="J142" s="93"/>
    </row>
    <row r="143" spans="2:11" ht="14.25" customHeight="1">
      <c r="H143" s="97">
        <f>C25+D25</f>
        <v>2</v>
      </c>
      <c r="I143" s="98" t="s">
        <v>98</v>
      </c>
      <c r="J143" s="98">
        <f>E25</f>
        <v>1</v>
      </c>
      <c r="K143" s="99" t="s">
        <v>118</v>
      </c>
    </row>
    <row r="144" spans="2:11" ht="14.25" customHeight="1">
      <c r="H144" s="100">
        <f t="shared" ref="H144:H146" si="8">C26+D26</f>
        <v>2</v>
      </c>
      <c r="I144" s="101" t="s">
        <v>98</v>
      </c>
      <c r="J144" s="101">
        <f t="shared" ref="J144:J146" si="9">E26</f>
        <v>1</v>
      </c>
      <c r="K144" s="102"/>
    </row>
    <row r="145" spans="8:11" ht="14.25" customHeight="1">
      <c r="H145" s="100">
        <f t="shared" si="8"/>
        <v>1</v>
      </c>
      <c r="I145" s="101" t="s">
        <v>98</v>
      </c>
      <c r="J145" s="101">
        <f t="shared" si="9"/>
        <v>1</v>
      </c>
      <c r="K145" s="102"/>
    </row>
    <row r="146" spans="8:11" ht="14.25" customHeight="1">
      <c r="H146" s="103">
        <f t="shared" si="8"/>
        <v>0</v>
      </c>
      <c r="I146" s="104" t="s">
        <v>98</v>
      </c>
      <c r="J146" s="104">
        <f t="shared" si="9"/>
        <v>0</v>
      </c>
      <c r="K146" s="105"/>
    </row>
    <row r="147" spans="8:11" ht="14.25" customHeight="1">
      <c r="H147" s="93"/>
      <c r="I147" s="93"/>
      <c r="J147" s="93"/>
    </row>
    <row r="148" spans="8:11" ht="14.25" customHeight="1">
      <c r="H148" s="97">
        <f>C25</f>
        <v>1</v>
      </c>
      <c r="I148" s="98" t="s">
        <v>99</v>
      </c>
      <c r="J148" s="98">
        <f>E25</f>
        <v>1</v>
      </c>
      <c r="K148" s="99" t="s">
        <v>119</v>
      </c>
    </row>
    <row r="149" spans="8:11" ht="14.25" customHeight="1">
      <c r="H149" s="100">
        <f t="shared" ref="H149:H151" si="10">C26</f>
        <v>1</v>
      </c>
      <c r="I149" s="101" t="s">
        <v>99</v>
      </c>
      <c r="J149" s="101">
        <f t="shared" ref="J149:J151" si="11">E26</f>
        <v>1</v>
      </c>
      <c r="K149" s="102"/>
    </row>
    <row r="150" spans="8:11" ht="14.25" customHeight="1">
      <c r="H150" s="100">
        <f t="shared" si="10"/>
        <v>0</v>
      </c>
      <c r="I150" s="101" t="s">
        <v>99</v>
      </c>
      <c r="J150" s="101">
        <f t="shared" si="11"/>
        <v>1</v>
      </c>
      <c r="K150" s="102"/>
    </row>
    <row r="151" spans="8:11" ht="14.25" customHeight="1">
      <c r="H151" s="100">
        <f t="shared" si="10"/>
        <v>0</v>
      </c>
      <c r="I151" s="101" t="s">
        <v>99</v>
      </c>
      <c r="J151" s="101">
        <f t="shared" si="11"/>
        <v>0</v>
      </c>
      <c r="K151" s="102"/>
    </row>
    <row r="152" spans="8:11" ht="14.25" customHeight="1">
      <c r="H152" s="100">
        <f>D25</f>
        <v>1</v>
      </c>
      <c r="I152" s="101" t="s">
        <v>99</v>
      </c>
      <c r="J152" s="101">
        <f>E25</f>
        <v>1</v>
      </c>
      <c r="K152" s="102"/>
    </row>
    <row r="153" spans="8:11" ht="14.25" customHeight="1">
      <c r="H153" s="100">
        <f>D26</f>
        <v>1</v>
      </c>
      <c r="I153" s="101" t="s">
        <v>99</v>
      </c>
      <c r="J153" s="101">
        <f t="shared" ref="J153:J155" si="12">E26</f>
        <v>1</v>
      </c>
      <c r="K153" s="102"/>
    </row>
    <row r="154" spans="8:11" ht="14.25" customHeight="1">
      <c r="H154" s="100">
        <f>D27</f>
        <v>1</v>
      </c>
      <c r="I154" s="101" t="s">
        <v>99</v>
      </c>
      <c r="J154" s="101">
        <f t="shared" si="12"/>
        <v>1</v>
      </c>
      <c r="K154" s="102"/>
    </row>
    <row r="155" spans="8:11" ht="14.25" customHeight="1">
      <c r="H155" s="103">
        <f>D28</f>
        <v>0</v>
      </c>
      <c r="I155" s="104" t="s">
        <v>99</v>
      </c>
      <c r="J155" s="104">
        <f t="shared" si="12"/>
        <v>0</v>
      </c>
      <c r="K155" s="105"/>
    </row>
    <row r="157" spans="8:11" ht="14.25" customHeight="1">
      <c r="H157" s="97">
        <f>H26</f>
        <v>1</v>
      </c>
      <c r="I157" s="98" t="s">
        <v>99</v>
      </c>
      <c r="J157" s="122">
        <f>SUM(C12:F12)</f>
        <v>2499.9999999999277</v>
      </c>
      <c r="K157" s="99" t="s">
        <v>128</v>
      </c>
    </row>
    <row r="158" spans="8:11" ht="14.25" customHeight="1">
      <c r="H158" s="100">
        <f t="shared" ref="H158:H159" si="13">H27</f>
        <v>0</v>
      </c>
      <c r="I158" s="101" t="s">
        <v>99</v>
      </c>
      <c r="J158" s="123">
        <f>SUM(C13:F13)</f>
        <v>0</v>
      </c>
      <c r="K158" s="102"/>
    </row>
    <row r="159" spans="8:11" ht="14.25" customHeight="1">
      <c r="H159" s="100">
        <f t="shared" si="13"/>
        <v>1</v>
      </c>
      <c r="I159" s="101" t="s">
        <v>99</v>
      </c>
      <c r="J159" s="123">
        <f t="shared" ref="J159" si="14">SUM(C14:F14)</f>
        <v>2722.4807849495501</v>
      </c>
      <c r="K159" s="102"/>
    </row>
    <row r="160" spans="8:11" ht="14.25" customHeight="1">
      <c r="H160" s="100">
        <f>I26</f>
        <v>0</v>
      </c>
      <c r="I160" s="101" t="s">
        <v>99</v>
      </c>
      <c r="J160" s="123">
        <f>SUM(J12:M12)</f>
        <v>0</v>
      </c>
      <c r="K160" s="102"/>
    </row>
    <row r="161" spans="8:11" ht="14.25" customHeight="1">
      <c r="H161" s="100">
        <f t="shared" ref="H161:H162" si="15">I27</f>
        <v>0</v>
      </c>
      <c r="I161" s="101" t="s">
        <v>99</v>
      </c>
      <c r="J161" s="123">
        <f t="shared" ref="J161:J162" si="16">SUM(J13:M13)</f>
        <v>2.2737367544323206E-13</v>
      </c>
      <c r="K161" s="102"/>
    </row>
    <row r="162" spans="8:11" ht="14.25" customHeight="1">
      <c r="H162" s="103">
        <f t="shared" si="15"/>
        <v>1</v>
      </c>
      <c r="I162" s="104" t="s">
        <v>99</v>
      </c>
      <c r="J162" s="124">
        <f t="shared" si="16"/>
        <v>10250</v>
      </c>
      <c r="K162" s="105"/>
    </row>
    <row r="163" spans="8:11" ht="14.25" customHeight="1">
      <c r="H163" s="93"/>
      <c r="I163" s="93"/>
      <c r="J163" s="93"/>
    </row>
    <row r="164" spans="8:11" ht="14.25" customHeight="1">
      <c r="H164" s="97">
        <f>C19</f>
        <v>0</v>
      </c>
      <c r="I164" s="98" t="s">
        <v>121</v>
      </c>
      <c r="J164" s="98">
        <v>0</v>
      </c>
      <c r="K164" s="99" t="s">
        <v>122</v>
      </c>
    </row>
    <row r="165" spans="8:11" ht="14.25" customHeight="1">
      <c r="H165" s="100">
        <f>J19</f>
        <v>0</v>
      </c>
      <c r="I165" s="101" t="s">
        <v>121</v>
      </c>
      <c r="J165" s="101">
        <v>0</v>
      </c>
      <c r="K165" s="102"/>
    </row>
    <row r="166" spans="8:11" ht="14.25" customHeight="1">
      <c r="H166" s="100">
        <f>E19</f>
        <v>0</v>
      </c>
      <c r="I166" s="101" t="s">
        <v>121</v>
      </c>
      <c r="J166" s="101">
        <v>0</v>
      </c>
      <c r="K166" s="102"/>
    </row>
    <row r="167" spans="8:11" ht="14.25" customHeight="1">
      <c r="H167" s="100">
        <f>L19</f>
        <v>0</v>
      </c>
      <c r="I167" s="101" t="s">
        <v>121</v>
      </c>
      <c r="J167" s="101">
        <v>0</v>
      </c>
      <c r="K167" s="102"/>
    </row>
    <row r="168" spans="8:11" ht="14.25" customHeight="1">
      <c r="H168" s="100">
        <f>D20</f>
        <v>0</v>
      </c>
      <c r="I168" s="101" t="s">
        <v>121</v>
      </c>
      <c r="J168" s="101">
        <v>0</v>
      </c>
      <c r="K168" s="102"/>
    </row>
    <row r="169" spans="8:11" ht="14.25" customHeight="1">
      <c r="H169" s="100">
        <f>E20</f>
        <v>600</v>
      </c>
      <c r="I169" s="101" t="s">
        <v>121</v>
      </c>
      <c r="J169" s="101">
        <v>0</v>
      </c>
      <c r="K169" s="102"/>
    </row>
    <row r="170" spans="8:11" ht="14.25" customHeight="1">
      <c r="H170" s="100">
        <f>F20</f>
        <v>0</v>
      </c>
      <c r="I170" s="101" t="s">
        <v>121</v>
      </c>
      <c r="J170" s="101">
        <v>0</v>
      </c>
      <c r="K170" s="102"/>
    </row>
    <row r="171" spans="8:11" ht="14.25" customHeight="1">
      <c r="H171" s="100">
        <f>K20</f>
        <v>0</v>
      </c>
      <c r="I171" s="101" t="s">
        <v>121</v>
      </c>
      <c r="J171" s="101">
        <v>0</v>
      </c>
      <c r="K171" s="102"/>
    </row>
    <row r="172" spans="8:11" ht="14.25" customHeight="1">
      <c r="H172" s="100">
        <f>L20</f>
        <v>399.99999999999972</v>
      </c>
      <c r="I172" s="101" t="s">
        <v>121</v>
      </c>
      <c r="J172" s="101">
        <v>0</v>
      </c>
      <c r="K172" s="102"/>
    </row>
    <row r="173" spans="8:11" ht="14.25" customHeight="1">
      <c r="H173" s="103">
        <f>M20</f>
        <v>0</v>
      </c>
      <c r="I173" s="104" t="s">
        <v>121</v>
      </c>
      <c r="J173" s="104">
        <v>0</v>
      </c>
      <c r="K173" s="105"/>
    </row>
    <row r="174" spans="8:11" ht="14.25" customHeight="1">
      <c r="H174" s="38" t="s">
        <v>125</v>
      </c>
      <c r="I174" s="33" t="s">
        <v>98</v>
      </c>
    </row>
    <row r="176" spans="8:11" ht="14.25" customHeight="1">
      <c r="H176" s="97">
        <f>C28</f>
        <v>0</v>
      </c>
      <c r="I176" s="98" t="s">
        <v>121</v>
      </c>
      <c r="J176" s="98">
        <v>0</v>
      </c>
      <c r="K176" s="99" t="s">
        <v>132</v>
      </c>
    </row>
    <row r="177" spans="8:11" ht="14.25" customHeight="1">
      <c r="H177" s="103">
        <f>D28</f>
        <v>0</v>
      </c>
      <c r="I177" s="104" t="s">
        <v>121</v>
      </c>
      <c r="J177" s="104">
        <v>0</v>
      </c>
      <c r="K177" s="105"/>
    </row>
    <row r="178" spans="8:11" ht="14.25" customHeight="1">
      <c r="H178" s="38" t="s">
        <v>125</v>
      </c>
      <c r="I178" s="33" t="s">
        <v>99</v>
      </c>
    </row>
  </sheetData>
  <mergeCells count="30">
    <mergeCell ref="K143:K146"/>
    <mergeCell ref="K148:K155"/>
    <mergeCell ref="K176:K177"/>
    <mergeCell ref="K164:K173"/>
    <mergeCell ref="K123:K127"/>
    <mergeCell ref="K128:K132"/>
    <mergeCell ref="K157:K162"/>
    <mergeCell ref="B135:C135"/>
    <mergeCell ref="K134:K137"/>
    <mergeCell ref="K138:K141"/>
    <mergeCell ref="C121:D121"/>
    <mergeCell ref="E121:F121"/>
    <mergeCell ref="K113:K117"/>
    <mergeCell ref="K118:K122"/>
    <mergeCell ref="K103:K106"/>
    <mergeCell ref="D103:E103"/>
    <mergeCell ref="K108:K111"/>
    <mergeCell ref="K92:K94"/>
    <mergeCell ref="K95:K97"/>
    <mergeCell ref="C94:D94"/>
    <mergeCell ref="K99:K102"/>
    <mergeCell ref="E86:F86"/>
    <mergeCell ref="C86:D86"/>
    <mergeCell ref="K86:K88"/>
    <mergeCell ref="K89:K91"/>
    <mergeCell ref="C43:D43"/>
    <mergeCell ref="C59:D59"/>
    <mergeCell ref="E59:F59"/>
    <mergeCell ref="D76:E76"/>
    <mergeCell ref="C34:D3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Corn Forecast - Part A</vt:lpstr>
      <vt:lpstr>Oat Forecast - Part A</vt:lpstr>
      <vt:lpstr>Main Model - Part B and C</vt:lpstr>
    </vt:vector>
  </TitlesOfParts>
  <Company>Bain &amp; Company,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7-2</dc:title>
  <dc:subject>Supply Chain Management - 5th edition</dc:subject>
  <dc:creator>Jay Mabe</dc:creator>
  <cp:lastModifiedBy>Gregory Prastacos</cp:lastModifiedBy>
  <cp:lastPrinted>2012-03-25T23:56:24Z</cp:lastPrinted>
  <dcterms:created xsi:type="dcterms:W3CDTF">2000-03-05T16:45:35Z</dcterms:created>
  <dcterms:modified xsi:type="dcterms:W3CDTF">2014-11-03T00:05:25Z</dcterms:modified>
</cp:coreProperties>
</file>